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\Desktop\"/>
    </mc:Choice>
  </mc:AlternateContent>
  <bookViews>
    <workbookView xWindow="-120" yWindow="-120" windowWidth="29040" windowHeight="17640"/>
  </bookViews>
  <sheets>
    <sheet name="Alle lev" sheetId="44" r:id="rId1"/>
    <sheet name="Ark1" sheetId="103" r:id="rId2"/>
    <sheet name="Ark31" sheetId="49" state="veryHidden" r:id="rId3"/>
    <sheet name="Ark32" sheetId="50" state="veryHidden" r:id="rId4"/>
    <sheet name="Ark35" sheetId="53" state="veryHidden" r:id="rId5"/>
    <sheet name="Ark3" sheetId="152" state="veryHidden" r:id="rId6"/>
    <sheet name="Ark4" sheetId="153" state="veryHidden" r:id="rId7"/>
    <sheet name="Ark5" sheetId="165" state="veryHidden" r:id="rId8"/>
  </sheets>
  <definedNames>
    <definedName name="_xlnm.Print_Area" localSheetId="0">'Alle lev'!$F$9:$P$154</definedName>
    <definedName name="_xlnm.Print_Titles" localSheetId="0">'Alle lev'!$10:$22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5" i="44" l="1"/>
  <c r="P146" i="44"/>
  <c r="P147" i="44"/>
  <c r="P148" i="44"/>
  <c r="P149" i="44"/>
  <c r="P150" i="44"/>
  <c r="P151" i="44"/>
  <c r="P152" i="44"/>
  <c r="P144" i="44"/>
  <c r="P110" i="44"/>
  <c r="P111" i="44"/>
  <c r="P112" i="44"/>
  <c r="P113" i="44"/>
  <c r="P114" i="44"/>
  <c r="P115" i="44"/>
  <c r="P116" i="44"/>
  <c r="P117" i="44"/>
  <c r="P118" i="44"/>
  <c r="P119" i="44"/>
  <c r="P120" i="44"/>
  <c r="P121" i="44"/>
  <c r="P122" i="44"/>
  <c r="P123" i="44"/>
  <c r="P124" i="44"/>
  <c r="P125" i="44"/>
  <c r="P126" i="44"/>
  <c r="P127" i="44"/>
  <c r="P128" i="44"/>
  <c r="P129" i="44"/>
  <c r="P130" i="44"/>
  <c r="P131" i="44"/>
  <c r="P132" i="44"/>
  <c r="P133" i="44"/>
  <c r="P134" i="44"/>
  <c r="P135" i="44"/>
  <c r="P136" i="44"/>
  <c r="P137" i="44"/>
  <c r="P138" i="44"/>
  <c r="P139" i="44"/>
  <c r="P140" i="44"/>
  <c r="D6" i="44"/>
  <c r="E7" i="44"/>
  <c r="E8" i="44"/>
  <c r="D9" i="44"/>
  <c r="D10" i="44"/>
  <c r="I11" i="44"/>
  <c r="H19" i="44"/>
  <c r="D24" i="44"/>
  <c r="E24" i="44"/>
  <c r="G24" i="44"/>
  <c r="D25" i="44"/>
  <c r="G25" i="44"/>
  <c r="I25" i="44"/>
  <c r="J25" i="44"/>
  <c r="D28" i="44"/>
  <c r="E28" i="44"/>
  <c r="G28" i="44"/>
  <c r="D29" i="44"/>
  <c r="G29" i="44"/>
  <c r="I29" i="44"/>
  <c r="J29" i="44"/>
  <c r="D30" i="44"/>
  <c r="G30" i="44"/>
  <c r="I30" i="44"/>
  <c r="J30" i="44"/>
  <c r="D31" i="44"/>
  <c r="G31" i="44"/>
  <c r="I31" i="44"/>
  <c r="J31" i="44"/>
  <c r="D32" i="44"/>
  <c r="G32" i="44"/>
  <c r="I32" i="44"/>
  <c r="J32" i="44"/>
  <c r="D33" i="44"/>
  <c r="G33" i="44"/>
  <c r="I33" i="44"/>
  <c r="J33" i="44"/>
  <c r="D34" i="44"/>
  <c r="G34" i="44"/>
  <c r="I34" i="44"/>
  <c r="J34" i="44"/>
  <c r="D35" i="44"/>
  <c r="G35" i="44"/>
  <c r="I35" i="44"/>
  <c r="J35" i="44"/>
  <c r="D36" i="44"/>
  <c r="G36" i="44"/>
  <c r="I36" i="44"/>
  <c r="J36" i="44"/>
  <c r="D37" i="44"/>
  <c r="G37" i="44"/>
  <c r="I37" i="44"/>
  <c r="J37" i="44"/>
  <c r="D38" i="44"/>
  <c r="G38" i="44"/>
  <c r="I38" i="44"/>
  <c r="J38" i="44"/>
  <c r="D39" i="44"/>
  <c r="G39" i="44"/>
  <c r="I39" i="44"/>
  <c r="J39" i="44"/>
  <c r="D40" i="44"/>
  <c r="G40" i="44"/>
  <c r="I40" i="44"/>
  <c r="J40" i="44"/>
  <c r="D41" i="44"/>
  <c r="G41" i="44"/>
  <c r="I41" i="44"/>
  <c r="J41" i="44"/>
  <c r="D42" i="44"/>
  <c r="G42" i="44"/>
  <c r="I42" i="44"/>
  <c r="J42" i="44"/>
  <c r="D43" i="44"/>
  <c r="G43" i="44"/>
  <c r="I43" i="44"/>
  <c r="J43" i="44"/>
  <c r="D44" i="44"/>
  <c r="G44" i="44"/>
  <c r="I44" i="44"/>
  <c r="J44" i="44"/>
  <c r="D45" i="44"/>
  <c r="G45" i="44"/>
  <c r="I45" i="44"/>
  <c r="J45" i="44"/>
  <c r="D48" i="44"/>
  <c r="E48" i="44"/>
  <c r="G48" i="44"/>
  <c r="D49" i="44"/>
  <c r="G49" i="44"/>
  <c r="I49" i="44"/>
  <c r="J49" i="44"/>
  <c r="D50" i="44"/>
  <c r="G50" i="44"/>
  <c r="I50" i="44"/>
  <c r="J50" i="44"/>
  <c r="D51" i="44"/>
  <c r="G51" i="44"/>
  <c r="I51" i="44"/>
  <c r="J51" i="44"/>
  <c r="D54" i="44"/>
  <c r="E54" i="44"/>
  <c r="G54" i="44"/>
  <c r="D55" i="44"/>
  <c r="G55" i="44"/>
  <c r="I55" i="44"/>
  <c r="J55" i="44"/>
  <c r="D56" i="44"/>
  <c r="G56" i="44"/>
  <c r="I56" i="44"/>
  <c r="J56" i="44"/>
  <c r="D57" i="44"/>
  <c r="G57" i="44"/>
  <c r="B57" i="44" s="1"/>
  <c r="I57" i="44"/>
  <c r="J57" i="44"/>
  <c r="D58" i="44"/>
  <c r="G58" i="44"/>
  <c r="I58" i="44"/>
  <c r="J58" i="44"/>
  <c r="D59" i="44"/>
  <c r="G59" i="44"/>
  <c r="B59" i="44" s="1"/>
  <c r="I59" i="44"/>
  <c r="J59" i="44"/>
  <c r="D60" i="44"/>
  <c r="G60" i="44"/>
  <c r="I60" i="44"/>
  <c r="J60" i="44"/>
  <c r="D61" i="44"/>
  <c r="G61" i="44"/>
  <c r="B61" i="44" s="1"/>
  <c r="I61" i="44"/>
  <c r="J61" i="44"/>
  <c r="D62" i="44"/>
  <c r="G62" i="44"/>
  <c r="B62" i="44" s="1"/>
  <c r="I62" i="44"/>
  <c r="J62" i="44"/>
  <c r="D63" i="44"/>
  <c r="G63" i="44"/>
  <c r="I63" i="44"/>
  <c r="J63" i="44"/>
  <c r="D64" i="44"/>
  <c r="G64" i="44"/>
  <c r="I64" i="44"/>
  <c r="J64" i="44"/>
  <c r="D65" i="44"/>
  <c r="G65" i="44"/>
  <c r="B65" i="44" s="1"/>
  <c r="I65" i="44"/>
  <c r="J65" i="44"/>
  <c r="D66" i="44"/>
  <c r="G66" i="44"/>
  <c r="B66" i="44" s="1"/>
  <c r="I66" i="44"/>
  <c r="J66" i="44"/>
  <c r="D67" i="44"/>
  <c r="G67" i="44"/>
  <c r="I67" i="44"/>
  <c r="J67" i="44"/>
  <c r="D68" i="44"/>
  <c r="G68" i="44"/>
  <c r="I68" i="44"/>
  <c r="J68" i="44"/>
  <c r="D69" i="44"/>
  <c r="G69" i="44"/>
  <c r="B69" i="44" s="1"/>
  <c r="I69" i="44"/>
  <c r="J69" i="44"/>
  <c r="D70" i="44"/>
  <c r="G70" i="44"/>
  <c r="I70" i="44"/>
  <c r="J70" i="44"/>
  <c r="D71" i="44"/>
  <c r="G71" i="44"/>
  <c r="I71" i="44"/>
  <c r="J71" i="44"/>
  <c r="D72" i="44"/>
  <c r="G72" i="44"/>
  <c r="I72" i="44"/>
  <c r="J72" i="44"/>
  <c r="D73" i="44"/>
  <c r="G73" i="44"/>
  <c r="B73" i="44" s="1"/>
  <c r="I73" i="44"/>
  <c r="J73" i="44"/>
  <c r="D76" i="44"/>
  <c r="E76" i="44"/>
  <c r="C76" i="44" s="1"/>
  <c r="C77" i="44" s="1"/>
  <c r="G76" i="44"/>
  <c r="D77" i="44"/>
  <c r="G77" i="44"/>
  <c r="I77" i="44"/>
  <c r="J77" i="44"/>
  <c r="D80" i="44"/>
  <c r="E80" i="44"/>
  <c r="G80" i="44"/>
  <c r="D81" i="44"/>
  <c r="G81" i="44"/>
  <c r="I81" i="44"/>
  <c r="J81" i="44"/>
  <c r="D82" i="44"/>
  <c r="G82" i="44"/>
  <c r="I82" i="44"/>
  <c r="J82" i="44"/>
  <c r="D83" i="44"/>
  <c r="G83" i="44"/>
  <c r="I83" i="44"/>
  <c r="J83" i="44"/>
  <c r="D86" i="44"/>
  <c r="E86" i="44"/>
  <c r="G86" i="44"/>
  <c r="D87" i="44"/>
  <c r="G87" i="44"/>
  <c r="I87" i="44"/>
  <c r="J87" i="44"/>
  <c r="D90" i="44"/>
  <c r="E90" i="44"/>
  <c r="G90" i="44"/>
  <c r="D91" i="44"/>
  <c r="G91" i="44"/>
  <c r="I91" i="44"/>
  <c r="J91" i="44"/>
  <c r="D92" i="44"/>
  <c r="G92" i="44"/>
  <c r="I92" i="44"/>
  <c r="J92" i="44"/>
  <c r="D93" i="44"/>
  <c r="G93" i="44"/>
  <c r="B93" i="44" s="1"/>
  <c r="I93" i="44"/>
  <c r="J93" i="44"/>
  <c r="D96" i="44"/>
  <c r="E96" i="44"/>
  <c r="C96" i="44" s="1"/>
  <c r="C97" i="44" s="1"/>
  <c r="G96" i="44"/>
  <c r="D97" i="44"/>
  <c r="G97" i="44"/>
  <c r="I97" i="44"/>
  <c r="J97" i="44"/>
  <c r="D100" i="44"/>
  <c r="E100" i="44"/>
  <c r="G100" i="44"/>
  <c r="D101" i="44"/>
  <c r="G101" i="44"/>
  <c r="I101" i="44"/>
  <c r="J101" i="44"/>
  <c r="D102" i="44"/>
  <c r="G102" i="44"/>
  <c r="I102" i="44"/>
  <c r="J102" i="44"/>
  <c r="D103" i="44"/>
  <c r="G103" i="44"/>
  <c r="I103" i="44"/>
  <c r="J103" i="44"/>
  <c r="D104" i="44"/>
  <c r="G104" i="44"/>
  <c r="I104" i="44"/>
  <c r="J104" i="44"/>
  <c r="D105" i="44"/>
  <c r="G105" i="44"/>
  <c r="I105" i="44"/>
  <c r="J105" i="44"/>
  <c r="D106" i="44"/>
  <c r="G106" i="44"/>
  <c r="I106" i="44"/>
  <c r="J106" i="44"/>
  <c r="D107" i="44"/>
  <c r="G107" i="44"/>
  <c r="I107" i="44"/>
  <c r="J107" i="44"/>
  <c r="D108" i="44"/>
  <c r="G108" i="44"/>
  <c r="B108" i="44" s="1"/>
  <c r="I108" i="44"/>
  <c r="J108" i="44"/>
  <c r="D109" i="44"/>
  <c r="G109" i="44"/>
  <c r="I109" i="44"/>
  <c r="J109" i="44"/>
  <c r="D110" i="44"/>
  <c r="G110" i="44"/>
  <c r="I110" i="44"/>
  <c r="J110" i="44"/>
  <c r="D111" i="44"/>
  <c r="G111" i="44"/>
  <c r="B111" i="44" s="1"/>
  <c r="I111" i="44"/>
  <c r="J111" i="44"/>
  <c r="D112" i="44"/>
  <c r="G112" i="44"/>
  <c r="I112" i="44"/>
  <c r="J112" i="44"/>
  <c r="D113" i="44"/>
  <c r="G113" i="44"/>
  <c r="I113" i="44"/>
  <c r="J113" i="44"/>
  <c r="D114" i="44"/>
  <c r="G114" i="44"/>
  <c r="I114" i="44"/>
  <c r="J114" i="44"/>
  <c r="D115" i="44"/>
  <c r="G115" i="44"/>
  <c r="I115" i="44"/>
  <c r="J115" i="44"/>
  <c r="D116" i="44"/>
  <c r="G116" i="44"/>
  <c r="B116" i="44" s="1"/>
  <c r="I116" i="44"/>
  <c r="J116" i="44"/>
  <c r="D117" i="44"/>
  <c r="G117" i="44"/>
  <c r="B117" i="44" s="1"/>
  <c r="I117" i="44"/>
  <c r="J117" i="44"/>
  <c r="D118" i="44"/>
  <c r="G118" i="44"/>
  <c r="I118" i="44"/>
  <c r="J118" i="44"/>
  <c r="D119" i="44"/>
  <c r="G119" i="44"/>
  <c r="I119" i="44"/>
  <c r="J119" i="44"/>
  <c r="D120" i="44"/>
  <c r="G120" i="44"/>
  <c r="I120" i="44"/>
  <c r="J120" i="44"/>
  <c r="D121" i="44"/>
  <c r="G121" i="44"/>
  <c r="I121" i="44"/>
  <c r="J121" i="44"/>
  <c r="D122" i="44"/>
  <c r="G122" i="44"/>
  <c r="I122" i="44"/>
  <c r="J122" i="44"/>
  <c r="D123" i="44"/>
  <c r="G123" i="44"/>
  <c r="I123" i="44"/>
  <c r="J123" i="44"/>
  <c r="D124" i="44"/>
  <c r="G124" i="44"/>
  <c r="B124" i="44" s="1"/>
  <c r="I124" i="44"/>
  <c r="J124" i="44"/>
  <c r="D125" i="44"/>
  <c r="G125" i="44"/>
  <c r="B125" i="44" s="1"/>
  <c r="I125" i="44"/>
  <c r="J125" i="44"/>
  <c r="D126" i="44"/>
  <c r="G126" i="44"/>
  <c r="I126" i="44"/>
  <c r="J126" i="44"/>
  <c r="D127" i="44"/>
  <c r="G127" i="44"/>
  <c r="I127" i="44"/>
  <c r="J127" i="44"/>
  <c r="D128" i="44"/>
  <c r="G128" i="44"/>
  <c r="I128" i="44"/>
  <c r="J128" i="44"/>
  <c r="D129" i="44"/>
  <c r="G129" i="44"/>
  <c r="I129" i="44"/>
  <c r="J129" i="44"/>
  <c r="D130" i="44"/>
  <c r="G130" i="44"/>
  <c r="I130" i="44"/>
  <c r="J130" i="44"/>
  <c r="D131" i="44"/>
  <c r="G131" i="44"/>
  <c r="I131" i="44"/>
  <c r="J131" i="44"/>
  <c r="D132" i="44"/>
  <c r="G132" i="44"/>
  <c r="B132" i="44" s="1"/>
  <c r="I132" i="44"/>
  <c r="J132" i="44"/>
  <c r="D133" i="44"/>
  <c r="G133" i="44"/>
  <c r="B133" i="44" s="1"/>
  <c r="I133" i="44"/>
  <c r="J133" i="44"/>
  <c r="D134" i="44"/>
  <c r="G134" i="44"/>
  <c r="I134" i="44"/>
  <c r="J134" i="44"/>
  <c r="D135" i="44"/>
  <c r="G135" i="44"/>
  <c r="B135" i="44" s="1"/>
  <c r="I135" i="44"/>
  <c r="J135" i="44"/>
  <c r="D136" i="44"/>
  <c r="G136" i="44"/>
  <c r="I136" i="44"/>
  <c r="J136" i="44"/>
  <c r="D137" i="44"/>
  <c r="G137" i="44"/>
  <c r="I137" i="44"/>
  <c r="J137" i="44"/>
  <c r="D138" i="44"/>
  <c r="G138" i="44"/>
  <c r="I138" i="44"/>
  <c r="J138" i="44"/>
  <c r="D139" i="44"/>
  <c r="G139" i="44"/>
  <c r="I139" i="44"/>
  <c r="J139" i="44"/>
  <c r="D140" i="44"/>
  <c r="G140" i="44"/>
  <c r="I140" i="44"/>
  <c r="J140" i="44"/>
  <c r="D143" i="44"/>
  <c r="E143" i="44"/>
  <c r="C143" i="44" s="1"/>
  <c r="C144" i="44" s="1"/>
  <c r="G143" i="44"/>
  <c r="D144" i="44"/>
  <c r="G144" i="44"/>
  <c r="I144" i="44"/>
  <c r="J144" i="44"/>
  <c r="D145" i="44"/>
  <c r="G145" i="44"/>
  <c r="I145" i="44"/>
  <c r="J145" i="44"/>
  <c r="D146" i="44"/>
  <c r="G146" i="44"/>
  <c r="I146" i="44"/>
  <c r="J146" i="44"/>
  <c r="D147" i="44"/>
  <c r="G147" i="44"/>
  <c r="I147" i="44"/>
  <c r="J147" i="44"/>
  <c r="D148" i="44"/>
  <c r="G148" i="44"/>
  <c r="I148" i="44"/>
  <c r="J148" i="44"/>
  <c r="D149" i="44"/>
  <c r="G149" i="44"/>
  <c r="I149" i="44"/>
  <c r="J149" i="44"/>
  <c r="D150" i="44"/>
  <c r="G150" i="44"/>
  <c r="I150" i="44"/>
  <c r="J150" i="44"/>
  <c r="D151" i="44"/>
  <c r="G151" i="44"/>
  <c r="I151" i="44"/>
  <c r="J151" i="44"/>
  <c r="D152" i="44"/>
  <c r="G152" i="44"/>
  <c r="I152" i="44"/>
  <c r="J152" i="44"/>
  <c r="B42" i="44"/>
  <c r="B41" i="44"/>
  <c r="B38" i="44"/>
  <c r="B37" i="44"/>
  <c r="B34" i="44"/>
  <c r="B33" i="44"/>
  <c r="B30" i="44"/>
  <c r="B70" i="44"/>
  <c r="B64" i="44"/>
  <c r="B58" i="44"/>
  <c r="B129" i="44"/>
  <c r="B128" i="44"/>
  <c r="B121" i="44"/>
  <c r="B120" i="44"/>
  <c r="B113" i="44"/>
  <c r="B112" i="44"/>
  <c r="B107" i="44"/>
  <c r="B105" i="44"/>
  <c r="B104" i="44"/>
  <c r="B103" i="44"/>
  <c r="B102" i="44"/>
  <c r="B150" i="44"/>
  <c r="B149" i="44"/>
  <c r="B148" i="44"/>
  <c r="C28" i="44"/>
  <c r="C29" i="44" s="1"/>
  <c r="C48" i="44"/>
  <c r="C49" i="44" s="1"/>
  <c r="C54" i="44"/>
  <c r="C55" i="44" s="1"/>
  <c r="C100" i="44"/>
  <c r="C101" i="44" s="1"/>
  <c r="C102" i="44" s="1"/>
  <c r="C103" i="44" s="1"/>
  <c r="C104" i="44" s="1"/>
  <c r="C105" i="44" s="1"/>
  <c r="C106" i="44" s="1"/>
  <c r="C107" i="44" s="1"/>
  <c r="C108" i="44" s="1"/>
  <c r="C109" i="44" s="1"/>
  <c r="C110" i="44" s="1"/>
  <c r="C111" i="44" s="1"/>
  <c r="C112" i="44" s="1"/>
  <c r="C113" i="44" s="1"/>
  <c r="C114" i="44" s="1"/>
  <c r="C115" i="44" s="1"/>
  <c r="C116" i="44" s="1"/>
  <c r="C117" i="44" s="1"/>
  <c r="C118" i="44" s="1"/>
  <c r="C119" i="44" s="1"/>
  <c r="C120" i="44" s="1"/>
  <c r="C121" i="44" s="1"/>
  <c r="C122" i="44" s="1"/>
  <c r="C123" i="44" s="1"/>
  <c r="C124" i="44" s="1"/>
  <c r="C125" i="44" s="1"/>
  <c r="C126" i="44" s="1"/>
  <c r="C127" i="44" s="1"/>
  <c r="C128" i="44" s="1"/>
  <c r="C129" i="44" s="1"/>
  <c r="C130" i="44" s="1"/>
  <c r="C131" i="44" s="1"/>
  <c r="C132" i="44" s="1"/>
  <c r="C133" i="44" s="1"/>
  <c r="C134" i="44" s="1"/>
  <c r="C135" i="44" s="1"/>
  <c r="C136" i="44" s="1"/>
  <c r="C137" i="44" s="1"/>
  <c r="C138" i="44" s="1"/>
  <c r="C139" i="44" s="1"/>
  <c r="C140" i="44" s="1"/>
  <c r="C90" i="44"/>
  <c r="C91" i="44" s="1"/>
  <c r="C80" i="44"/>
  <c r="C81" i="44" s="1"/>
  <c r="D4" i="44"/>
  <c r="E4" i="44" s="1"/>
  <c r="D5" i="44"/>
  <c r="D7" i="44" l="1"/>
  <c r="C50" i="44"/>
  <c r="C51" i="44" s="1"/>
  <c r="C92" i="44"/>
  <c r="C93" i="44" s="1"/>
  <c r="C145" i="44"/>
  <c r="C146" i="44" s="1"/>
  <c r="C147" i="44" s="1"/>
  <c r="C148" i="44" s="1"/>
  <c r="C149" i="44" s="1"/>
  <c r="C150" i="44" s="1"/>
  <c r="C151" i="44" s="1"/>
  <c r="C152" i="44" s="1"/>
  <c r="B134" i="44"/>
  <c r="C82" i="44"/>
  <c r="C83" i="44" s="1"/>
  <c r="C30" i="44"/>
  <c r="C31" i="44" s="1"/>
  <c r="C32" i="44" s="1"/>
  <c r="C33" i="44" s="1"/>
  <c r="C34" i="44" s="1"/>
  <c r="C35" i="44" s="1"/>
  <c r="C36" i="44" s="1"/>
  <c r="C37" i="44" s="1"/>
  <c r="C38" i="44" s="1"/>
  <c r="C39" i="44" s="1"/>
  <c r="C40" i="44" s="1"/>
  <c r="C41" i="44" s="1"/>
  <c r="C42" i="44" s="1"/>
  <c r="C43" i="44" s="1"/>
  <c r="C44" i="44" s="1"/>
  <c r="C45" i="44" s="1"/>
  <c r="B147" i="44"/>
  <c r="B151" i="44"/>
  <c r="C86" i="44"/>
  <c r="C87" i="44" s="1"/>
  <c r="C56" i="44"/>
  <c r="C57" i="44" s="1"/>
  <c r="C58" i="44" s="1"/>
  <c r="C59" i="44" s="1"/>
  <c r="C60" i="44" s="1"/>
  <c r="C61" i="44" s="1"/>
  <c r="C62" i="44" s="1"/>
  <c r="C63" i="44" s="1"/>
  <c r="C64" i="44" s="1"/>
  <c r="C65" i="44" s="1"/>
  <c r="C66" i="44" s="1"/>
  <c r="C67" i="44" s="1"/>
  <c r="C68" i="44" s="1"/>
  <c r="C69" i="44" s="1"/>
  <c r="C70" i="44" s="1"/>
  <c r="C71" i="44" s="1"/>
  <c r="C72" i="44" s="1"/>
  <c r="C73" i="44" s="1"/>
  <c r="B145" i="44"/>
  <c r="B146" i="44"/>
  <c r="B115" i="44"/>
  <c r="B118" i="44"/>
  <c r="B131" i="44"/>
  <c r="B106" i="44"/>
  <c r="B109" i="44"/>
  <c r="B114" i="44"/>
  <c r="B119" i="44"/>
  <c r="B122" i="44"/>
  <c r="B138" i="44"/>
  <c r="B83" i="44"/>
  <c r="B82" i="44"/>
  <c r="B123" i="44"/>
  <c r="B126" i="44"/>
  <c r="B137" i="44"/>
  <c r="B110" i="44"/>
  <c r="B127" i="44"/>
  <c r="B130" i="44"/>
  <c r="B139" i="44"/>
  <c r="B140" i="44"/>
  <c r="B92" i="44"/>
  <c r="B56" i="44"/>
  <c r="B68" i="44"/>
  <c r="B71" i="44"/>
  <c r="B136" i="44"/>
  <c r="B60" i="44"/>
  <c r="B72" i="44"/>
  <c r="B50" i="44"/>
  <c r="B40" i="44"/>
  <c r="B31" i="44"/>
  <c r="B32" i="44"/>
  <c r="B35" i="44"/>
  <c r="B63" i="44"/>
  <c r="B36" i="44"/>
  <c r="B39" i="44"/>
  <c r="B45" i="44"/>
  <c r="B44" i="44"/>
  <c r="B43" i="44"/>
  <c r="F5" i="103"/>
  <c r="D3" i="44"/>
  <c r="C2" i="44"/>
  <c r="O62" i="44" l="1"/>
  <c r="P62" i="44" s="1"/>
  <c r="O63" i="44"/>
  <c r="P63" i="44" s="1"/>
  <c r="O45" i="44"/>
  <c r="P45" i="44" s="1"/>
  <c r="O44" i="44"/>
  <c r="P44" i="44" s="1"/>
  <c r="O40" i="44"/>
  <c r="P40" i="44" s="1"/>
  <c r="O43" i="44"/>
  <c r="P43" i="44" s="1"/>
  <c r="O36" i="44"/>
  <c r="P36" i="44" s="1"/>
  <c r="C24" i="44"/>
  <c r="C25" i="44" s="1"/>
  <c r="O152" i="44"/>
  <c r="B152" i="44"/>
  <c r="B67" i="44"/>
  <c r="O67" i="44"/>
  <c r="P67" i="44" s="1"/>
  <c r="O51" i="44"/>
  <c r="P51" i="44" s="1"/>
  <c r="B51" i="44"/>
  <c r="E5" i="103"/>
  <c r="O38" i="44" l="1"/>
  <c r="P38" i="44" s="1"/>
  <c r="O39" i="44"/>
  <c r="P39" i="44" s="1"/>
  <c r="O115" i="44"/>
  <c r="O149" i="44"/>
  <c r="O58" i="44"/>
  <c r="P58" i="44" s="1"/>
  <c r="O119" i="44"/>
  <c r="O34" i="44"/>
  <c r="P34" i="44" s="1"/>
  <c r="O37" i="44"/>
  <c r="P37" i="44" s="1"/>
  <c r="O133" i="44"/>
  <c r="O140" i="44"/>
  <c r="O128" i="44"/>
  <c r="O42" i="44"/>
  <c r="P42" i="44" s="1"/>
  <c r="O132" i="44"/>
  <c r="O127" i="44"/>
  <c r="O103" i="44"/>
  <c r="P103" i="44" s="1"/>
  <c r="O148" i="44"/>
  <c r="O151" i="44"/>
  <c r="O106" i="44"/>
  <c r="P106" i="44" s="1"/>
  <c r="O111" i="44"/>
  <c r="O135" i="44"/>
  <c r="O64" i="44"/>
  <c r="P64" i="44" s="1"/>
  <c r="O66" i="44"/>
  <c r="P66" i="44" s="1"/>
  <c r="O139" i="44"/>
  <c r="O82" i="44"/>
  <c r="P82" i="44" s="1"/>
  <c r="O57" i="44"/>
  <c r="P57" i="44" s="1"/>
  <c r="O104" i="44"/>
  <c r="P104" i="44" s="1"/>
  <c r="O33" i="44"/>
  <c r="P33" i="44" s="1"/>
  <c r="O121" i="44"/>
  <c r="O134" i="44"/>
  <c r="O117" i="44"/>
  <c r="O71" i="44"/>
  <c r="P71" i="44" s="1"/>
  <c r="O116" i="44"/>
  <c r="O113" i="44"/>
  <c r="O145" i="44"/>
  <c r="O122" i="44"/>
  <c r="O136" i="44"/>
  <c r="O50" i="44"/>
  <c r="P50" i="44" s="1"/>
  <c r="O41" i="44"/>
  <c r="P41" i="44" s="1"/>
  <c r="O120" i="44"/>
  <c r="O130" i="44"/>
  <c r="O65" i="44"/>
  <c r="P65" i="44" s="1"/>
  <c r="O72" i="44"/>
  <c r="P72" i="44" s="1"/>
  <c r="O108" i="44"/>
  <c r="P108" i="44" s="1"/>
  <c r="O56" i="44"/>
  <c r="P56" i="44" s="1"/>
  <c r="O32" i="44"/>
  <c r="P32" i="44" s="1"/>
  <c r="O93" i="44"/>
  <c r="P93" i="44" s="1"/>
  <c r="O35" i="44"/>
  <c r="P35" i="44" s="1"/>
  <c r="O70" i="44"/>
  <c r="P70" i="44" s="1"/>
  <c r="O60" i="44"/>
  <c r="P60" i="44" s="1"/>
  <c r="O92" i="44"/>
  <c r="P92" i="44" s="1"/>
  <c r="O146" i="44"/>
  <c r="O105" i="44"/>
  <c r="P105" i="44" s="1"/>
  <c r="O102" i="44"/>
  <c r="P102" i="44" s="1"/>
  <c r="O109" i="44"/>
  <c r="P109" i="44" s="1"/>
  <c r="O118" i="44"/>
  <c r="O83" i="44"/>
  <c r="P83" i="44" s="1"/>
  <c r="O31" i="44"/>
  <c r="P31" i="44" s="1"/>
  <c r="O61" i="44"/>
  <c r="P61" i="44" s="1"/>
  <c r="O125" i="44"/>
  <c r="O112" i="44"/>
  <c r="O124" i="44"/>
  <c r="O30" i="44"/>
  <c r="P30" i="44" s="1"/>
  <c r="O69" i="44"/>
  <c r="P69" i="44" s="1"/>
  <c r="O68" i="44"/>
  <c r="P68" i="44" s="1"/>
  <c r="O137" i="44"/>
  <c r="O123" i="44"/>
  <c r="O73" i="44"/>
  <c r="P73" i="44" s="1"/>
  <c r="O129" i="44"/>
  <c r="O138" i="44"/>
  <c r="O126" i="44"/>
  <c r="O114" i="44"/>
  <c r="O147" i="44"/>
  <c r="O150" i="44"/>
  <c r="O107" i="44"/>
  <c r="P107" i="44" s="1"/>
  <c r="O110" i="44"/>
  <c r="O131" i="44"/>
  <c r="O59" i="44"/>
  <c r="P59" i="44" s="1"/>
  <c r="B99" i="44" l="1"/>
  <c r="B97" i="44"/>
  <c r="B96" i="44"/>
  <c r="B98" i="44"/>
  <c r="B85" i="44"/>
  <c r="B81" i="44"/>
  <c r="B80" i="44"/>
  <c r="B84" i="44"/>
  <c r="B47" i="44"/>
  <c r="B29" i="44"/>
  <c r="B28" i="44"/>
  <c r="B46" i="44"/>
  <c r="O29" i="44"/>
  <c r="P29" i="44" s="1"/>
  <c r="B53" i="44"/>
  <c r="B49" i="44"/>
  <c r="B48" i="44"/>
  <c r="B52" i="44"/>
  <c r="O49" i="44"/>
  <c r="P49" i="44" s="1"/>
  <c r="B154" i="44"/>
  <c r="B144" i="44"/>
  <c r="B143" i="44"/>
  <c r="B153" i="44"/>
  <c r="B79" i="44"/>
  <c r="B77" i="44"/>
  <c r="B76" i="44"/>
  <c r="B78" i="44"/>
  <c r="B89" i="44"/>
  <c r="B87" i="44"/>
  <c r="B86" i="44"/>
  <c r="B88" i="44"/>
  <c r="B94" i="44"/>
  <c r="B95" i="44"/>
  <c r="B91" i="44"/>
  <c r="B90" i="44"/>
  <c r="B142" i="44"/>
  <c r="B101" i="44"/>
  <c r="B100" i="44"/>
  <c r="B141" i="44"/>
  <c r="O101" i="44"/>
  <c r="P101" i="44" s="1"/>
  <c r="B74" i="44"/>
  <c r="B75" i="44"/>
  <c r="B55" i="44"/>
  <c r="B54" i="44"/>
  <c r="O87" i="44" l="1"/>
  <c r="P87" i="44" s="1"/>
  <c r="B26" i="44"/>
  <c r="B24" i="44"/>
  <c r="B25" i="44"/>
  <c r="B27" i="44"/>
  <c r="O25" i="44"/>
  <c r="P25" i="44" s="1"/>
  <c r="O144" i="44"/>
  <c r="O81" i="44"/>
  <c r="P81" i="44" s="1"/>
  <c r="O77" i="44"/>
  <c r="P77" i="44" s="1"/>
  <c r="O55" i="44"/>
  <c r="P55" i="44" s="1"/>
  <c r="O91" i="44"/>
  <c r="P91" i="44" s="1"/>
  <c r="O97" i="44"/>
  <c r="P97" i="44" s="1"/>
</calcChain>
</file>

<file path=xl/sharedStrings.xml><?xml version="1.0" encoding="utf-8"?>
<sst xmlns="http://schemas.openxmlformats.org/spreadsheetml/2006/main" count="2358" uniqueCount="1765">
  <si>
    <t>Varenr.</t>
  </si>
  <si>
    <t>Varenavn</t>
  </si>
  <si>
    <t>Indhold</t>
  </si>
  <si>
    <t>Kolli</t>
  </si>
  <si>
    <t>Vejl. Uds.</t>
  </si>
  <si>
    <t>Indk.</t>
  </si>
  <si>
    <t>Titel+Hide</t>
  </si>
  <si>
    <t>Værdi+Hide</t>
  </si>
  <si>
    <t>Hide</t>
  </si>
  <si>
    <t>Option+Hide</t>
  </si>
  <si>
    <t>Dato</t>
  </si>
  <si>
    <t>Max 250 tegn</t>
  </si>
  <si>
    <t>Tilbud</t>
  </si>
  <si>
    <t>Vejl.</t>
  </si>
  <si>
    <t>Varenr. Første 250 tegn</t>
  </si>
  <si>
    <t>Hide+?</t>
  </si>
  <si>
    <t>=""</t>
  </si>
  <si>
    <t>=LEN(D3)</t>
  </si>
  <si>
    <t>=LÆNGDE(D3)</t>
  </si>
  <si>
    <t>Auto</t>
  </si>
  <si>
    <t>=IF($D39&lt;&gt;"",NF($D39,"Nummer"),"")</t>
  </si>
  <si>
    <t>=IF($D39&lt;&gt;"",NF($D39,"Beskrivelse"),"")</t>
  </si>
  <si>
    <t>=IF($D39&lt;&gt;"",NF($D39,"Måleantal")&amp;"   "&amp;NF($D39,"Måleenhed"),"")</t>
  </si>
  <si>
    <t>=IF($D39&lt;&gt;"",NF($D39,"50014 Kolliantal "),"")</t>
  </si>
  <si>
    <t>7609</t>
  </si>
  <si>
    <t>=IF($D38&lt;&gt;"",NF($D38,"Nummer"),"")</t>
  </si>
  <si>
    <t>=IF($D38&lt;&gt;"",NF($D38,"Beskrivelse"),"")</t>
  </si>
  <si>
    <t>=IF($D38&lt;&gt;"",NF($D38,"Måleantal")&amp;"   "&amp;NF($D38,"Måleenhed"),"")</t>
  </si>
  <si>
    <t>=IF($D38&lt;&gt;"",NF($D38,"50014 Kolliantal "),"")</t>
  </si>
  <si>
    <t>=IF($D40&lt;&gt;"",NF($D40,"Nummer"),"")</t>
  </si>
  <si>
    <t>=IF($D40&lt;&gt;"",NF($D40,"Beskrivelse"),"")</t>
  </si>
  <si>
    <t>=IF($D40&lt;&gt;"",NF($D40,"Måleantal")&amp;"   "&amp;NF($D40,"Måleenhed"),"")</t>
  </si>
  <si>
    <t>=IF($D40&lt;&gt;"",NF($D40,"50014 Kolliantal "),"")</t>
  </si>
  <si>
    <t>=IF($D22&lt;&gt;"",NF($D22,"Nummer"),"")</t>
  </si>
  <si>
    <t>=IF($D22&lt;&gt;"",NF($D22,"Beskrivelse"),"")</t>
  </si>
  <si>
    <t>=IF($D22&lt;&gt;"",NF($D22,"Måleantal")&amp;"   "&amp;NF($D22,"Måleenhed"),"")</t>
  </si>
  <si>
    <t>=IF($D22&lt;&gt;"",NF($D22,"50014 Kolliantal "),"")</t>
  </si>
  <si>
    <t>=IF($D26&lt;&gt;"",NF($D26,"Nummer"),"")</t>
  </si>
  <si>
    <t>=IF($D26&lt;&gt;"",NF($D26,"Beskrivelse"),"")</t>
  </si>
  <si>
    <t>=IF($D26&lt;&gt;"",NF($D26,"Måleantal")&amp;"   "&amp;NF($D26,"Måleenhed"),"")</t>
  </si>
  <si>
    <t>=IF($D26&lt;&gt;"",NF($D26,"50014 Kolliantal "),"")</t>
  </si>
  <si>
    <t>=IF($D30&lt;&gt;"",NF($D30,"Nummer"),"")</t>
  </si>
  <si>
    <t>=IF($D30&lt;&gt;"",NF($D30,"Beskrivelse"),"")</t>
  </si>
  <si>
    <t>=IF($D30&lt;&gt;"",NF($D30,"Måleantal")&amp;"   "&amp;NF($D30,"Måleenhed"),"")</t>
  </si>
  <si>
    <t>=IF($D30&lt;&gt;"",NF($D30,"50014 Kolliantal "),"")</t>
  </si>
  <si>
    <t>=IF($D34&lt;&gt;"",NF($D34,"Nummer"),"")</t>
  </si>
  <si>
    <t>=IF($D34&lt;&gt;"",NF($D34,"Beskrivelse"),"")</t>
  </si>
  <si>
    <t>=IF($D34&lt;&gt;"",NF($D34,"Måleantal")&amp;"   "&amp;NF($D34,"Måleenhed"),"")</t>
  </si>
  <si>
    <t>=IF($D34&lt;&gt;"",NF($D34,"50014 Kolliantal "),"")</t>
  </si>
  <si>
    <t>=IF($D41&lt;&gt;"",NF($D41,"Nummer"),"")</t>
  </si>
  <si>
    <t>=IF($D41&lt;&gt;"",NF($D41,"Beskrivelse"),"")</t>
  </si>
  <si>
    <t>=IF($D41&lt;&gt;"",NF($D41,"Måleantal")&amp;"   "&amp;NF($D41,"Måleenhed"),"")</t>
  </si>
  <si>
    <t>=IF($D41&lt;&gt;"",NF($D41,"50014 Kolliantal "),"")</t>
  </si>
  <si>
    <t>=IF($D45&lt;&gt;"",NF($D45,"Nummer"),"")</t>
  </si>
  <si>
    <t>=IF($D45&lt;&gt;"",NF($D45,"Beskrivelse"),"")</t>
  </si>
  <si>
    <t>=IF($D45&lt;&gt;"",NF($D45,"Måleantal")&amp;"   "&amp;NF($D45,"Måleenhed"),"")</t>
  </si>
  <si>
    <t>=IF($D45&lt;&gt;"",NF($D45,"50014 Kolliantal "),"")</t>
  </si>
  <si>
    <t>=IF($D49&lt;&gt;"",NF($D49,"Nummer"),"")</t>
  </si>
  <si>
    <t>=IF($D49&lt;&gt;"",NF($D49,"Beskrivelse"),"")</t>
  </si>
  <si>
    <t>=IF($D49&lt;&gt;"",NF($D49,"Måleantal")&amp;"   "&amp;NF($D49,"Måleenhed"),"")</t>
  </si>
  <si>
    <t>=IF($D49&lt;&gt;"",NF($D49,"50014 Kolliantal "),"")</t>
  </si>
  <si>
    <t>Kampagnekladde</t>
  </si>
  <si>
    <t>Kampagnekode (salgskode)</t>
  </si>
  <si>
    <t>=$I22&amp;" "&amp;$J22</t>
  </si>
  <si>
    <t>=NL(,"Udvidet tekst - linje","Tekst","nummer",$G22)</t>
  </si>
  <si>
    <t>=NL("Rækker","Vare",,"Leverandørnr.",$C$2,"Link=","Salgspris","Varenr.","=Nummer","Salgskode",$D$4,"Salgstype","Kampagne")</t>
  </si>
  <si>
    <t>=IF($D23&lt;&gt;"",NF($D23,"Nummer"),"")</t>
  </si>
  <si>
    <t>=$I23&amp;" "&amp;$J23</t>
  </si>
  <si>
    <t>=IF($D23&lt;&gt;"",NF($D23,"Beskrivelse"),"")</t>
  </si>
  <si>
    <t>=NL(,"Udvidet tekst - linje","Tekst","nummer",$G23)</t>
  </si>
  <si>
    <t>=IF($D23&lt;&gt;"",NF($D23,"Måleantal")&amp;"   "&amp;NF($D23,"Måleenhed"),"")</t>
  </si>
  <si>
    <t>=IF($D23&lt;&gt;"",NF($D23,"50014 Kolliantal "),"")</t>
  </si>
  <si>
    <t>=NL("Rækker";"Vare";;"Leverandørnr.";$C$2;"Link=";"Salgspris";"Varenr.";"=Nummer";"Salgskode";$D$4;"Salgstype";"Kampagne")</t>
  </si>
  <si>
    <t>=IF($D24&lt;&gt;"",NF($D24,"Nummer"),"")</t>
  </si>
  <si>
    <t>=$I24&amp;" "&amp;$J24</t>
  </si>
  <si>
    <t>=IF($D24&lt;&gt;"",NF($D24,"Beskrivelse"),"")</t>
  </si>
  <si>
    <t>=NL(,"Udvidet tekst - linje","Tekst","nummer",$G24)</t>
  </si>
  <si>
    <t>=IF($D24&lt;&gt;"",NF($D24,"Måleantal")&amp;"   "&amp;NF($D24,"Måleenhed"),"")</t>
  </si>
  <si>
    <t>=IF($D24&lt;&gt;"",NF($D24,"50014 Kolliantal "),"")</t>
  </si>
  <si>
    <t>=IF($D25&lt;&gt;"",NF($D25,"Nummer"),"")</t>
  </si>
  <si>
    <t>=$I25&amp;" "&amp;$J25</t>
  </si>
  <si>
    <t>=IF($D25&lt;&gt;"",NF($D25,"Beskrivelse"),"")</t>
  </si>
  <si>
    <t>=NL(,"Udvidet tekst - linje","Tekst","nummer",$G25)</t>
  </si>
  <si>
    <t>=IF($D25&lt;&gt;"",NF($D25,"Måleantal")&amp;"   "&amp;NF($D25,"Måleenhed"),"")</t>
  </si>
  <si>
    <t>=IF($D25&lt;&gt;"",NF($D25,"50014 Kolliantal "),"")</t>
  </si>
  <si>
    <t>=$I26&amp;" "&amp;$J26</t>
  </si>
  <si>
    <t>=NL(,"Udvidet tekst - linje","Tekst","nummer",$G26)</t>
  </si>
  <si>
    <t>=IF($D27&lt;&gt;"",NF($D27,"Nummer"),"")</t>
  </si>
  <si>
    <t>=$I27&amp;" "&amp;$J27</t>
  </si>
  <si>
    <t>=IF($D27&lt;&gt;"",NF($D27,"Beskrivelse"),"")</t>
  </si>
  <si>
    <t>=NL(,"Udvidet tekst - linje","Tekst","nummer",$G27)</t>
  </si>
  <si>
    <t>=IF($D27&lt;&gt;"",NF($D27,"Måleantal")&amp;"   "&amp;NF($D27,"Måleenhed"),"")</t>
  </si>
  <si>
    <t>=IF($D27&lt;&gt;"",NF($D27,"50014 Kolliantal "),"")</t>
  </si>
  <si>
    <t>=IF($D28&lt;&gt;"",NF($D28,"Nummer"),"")</t>
  </si>
  <si>
    <t>=$I28&amp;" "&amp;$J28</t>
  </si>
  <si>
    <t>=IF($D28&lt;&gt;"",NF($D28,"Beskrivelse"),"")</t>
  </si>
  <si>
    <t>=NL(,"Udvidet tekst - linje","Tekst","nummer",$G28)</t>
  </si>
  <si>
    <t>=IF($D28&lt;&gt;"",NF($D28,"Måleantal")&amp;"   "&amp;NF($D28,"Måleenhed"),"")</t>
  </si>
  <si>
    <t>=IF($D28&lt;&gt;"",NF($D28,"50014 Kolliantal "),"")</t>
  </si>
  <si>
    <t>=IF($D29&lt;&gt;"",NF($D29,"Nummer"),"")</t>
  </si>
  <si>
    <t>=$I29&amp;" "&amp;$J29</t>
  </si>
  <si>
    <t>=IF($D29&lt;&gt;"",NF($D29,"Beskrivelse"),"")</t>
  </si>
  <si>
    <t>=NL(,"Udvidet tekst - linje","Tekst","nummer",$G29)</t>
  </si>
  <si>
    <t>=IF($D29&lt;&gt;"",NF($D29,"Måleantal")&amp;"   "&amp;NF($D29,"Måleenhed"),"")</t>
  </si>
  <si>
    <t>=IF($D29&lt;&gt;"",NF($D29,"50014 Kolliantal "),"")</t>
  </si>
  <si>
    <t>=$I30&amp;" "&amp;$J30</t>
  </si>
  <si>
    <t>=NL(,"Udvidet tekst - linje","Tekst","nummer",$G30)</t>
  </si>
  <si>
    <t>=IF($D31&lt;&gt;"",NF($D31,"Nummer"),"")</t>
  </si>
  <si>
    <t>=$I31&amp;" "&amp;$J31</t>
  </si>
  <si>
    <t>=IF($D31&lt;&gt;"",NF($D31,"Beskrivelse"),"")</t>
  </si>
  <si>
    <t>=NL(,"Udvidet tekst - linje","Tekst","nummer",$G31)</t>
  </si>
  <si>
    <t>=IF($D31&lt;&gt;"",NF($D31,"Måleantal")&amp;"   "&amp;NF($D31,"Måleenhed"),"")</t>
  </si>
  <si>
    <t>=IF($D31&lt;&gt;"",NF($D31,"50014 Kolliantal "),"")</t>
  </si>
  <si>
    <t>=IF($D32&lt;&gt;"",NF($D32,"Nummer"),"")</t>
  </si>
  <si>
    <t>=$I32&amp;" "&amp;$J32</t>
  </si>
  <si>
    <t>=IF($D32&lt;&gt;"",NF($D32,"Beskrivelse"),"")</t>
  </si>
  <si>
    <t>=NL(,"Udvidet tekst - linje","Tekst","nummer",$G32)</t>
  </si>
  <si>
    <t>=IF($D32&lt;&gt;"",NF($D32,"Måleantal")&amp;"   "&amp;NF($D32,"Måleenhed"),"")</t>
  </si>
  <si>
    <t>=IF($D32&lt;&gt;"",NF($D32,"50014 Kolliantal "),"")</t>
  </si>
  <si>
    <t>=IF($D33&lt;&gt;"",NF($D33,"Nummer"),"")</t>
  </si>
  <si>
    <t>=$I33&amp;" "&amp;$J33</t>
  </si>
  <si>
    <t>=IF($D33&lt;&gt;"",NF($D33,"Beskrivelse"),"")</t>
  </si>
  <si>
    <t>=NL(,"Udvidet tekst - linje","Tekst","nummer",$G33)</t>
  </si>
  <si>
    <t>=IF($D33&lt;&gt;"",NF($D33,"Måleantal")&amp;"   "&amp;NF($D33,"Måleenhed"),"")</t>
  </si>
  <si>
    <t>=IF($D33&lt;&gt;"",NF($D33,"50014 Kolliantal "),"")</t>
  </si>
  <si>
    <t>=$I34&amp;" "&amp;$J34</t>
  </si>
  <si>
    <t>=NL(,"Udvidet tekst - linje","Tekst","nummer",$G34)</t>
  </si>
  <si>
    <t>=IF($D35&lt;&gt;"",NF($D35,"Nummer"),"")</t>
  </si>
  <si>
    <t>=$I35&amp;" "&amp;$J35</t>
  </si>
  <si>
    <t>=IF($D35&lt;&gt;"",NF($D35,"Beskrivelse"),"")</t>
  </si>
  <si>
    <t>=NL(,"Udvidet tekst - linje","Tekst","nummer",$G35)</t>
  </si>
  <si>
    <t>=IF($D35&lt;&gt;"",NF($D35,"Måleantal")&amp;"   "&amp;NF($D35,"Måleenhed"),"")</t>
  </si>
  <si>
    <t>=IF($D35&lt;&gt;"",NF($D35,"50014 Kolliantal "),"")</t>
  </si>
  <si>
    <t>=IF($D36&lt;&gt;"",NF($D36,"Nummer"),"")</t>
  </si>
  <si>
    <t>=$I36&amp;" "&amp;$J36</t>
  </si>
  <si>
    <t>=IF($D36&lt;&gt;"",NF($D36,"Beskrivelse"),"")</t>
  </si>
  <si>
    <t>=NL(,"Udvidet tekst - linje","Tekst","nummer",$G36)</t>
  </si>
  <si>
    <t>=IF($D36&lt;&gt;"",NF($D36,"Måleantal")&amp;"   "&amp;NF($D36,"Måleenhed"),"")</t>
  </si>
  <si>
    <t>=IF($D36&lt;&gt;"",NF($D36,"50014 Kolliantal "),"")</t>
  </si>
  <si>
    <t>=IF($D37&lt;&gt;"",NF($D37,"Nummer"),"")</t>
  </si>
  <si>
    <t>=$I37&amp;" "&amp;$J37</t>
  </si>
  <si>
    <t>=IF($D37&lt;&gt;"",NF($D37,"Beskrivelse"),"")</t>
  </si>
  <si>
    <t>=NL(,"Udvidet tekst - linje","Tekst","nummer",$G37)</t>
  </si>
  <si>
    <t>=IF($D37&lt;&gt;"",NF($D37,"Måleantal")&amp;"   "&amp;NF($D37,"Måleenhed"),"")</t>
  </si>
  <si>
    <t>=IF($D37&lt;&gt;"",NF($D37,"50014 Kolliantal "),"")</t>
  </si>
  <si>
    <t>=$I38&amp;" "&amp;$J38</t>
  </si>
  <si>
    <t>=NL(,"Udvidet tekst - linje","Tekst","nummer",$G38)</t>
  </si>
  <si>
    <t>=$I39&amp;" "&amp;$J39</t>
  </si>
  <si>
    <t>=NL(,"Udvidet tekst - linje","Tekst","nummer",$G39)</t>
  </si>
  <si>
    <t>=$I40&amp;" "&amp;$J40</t>
  </si>
  <si>
    <t>=NL(,"Udvidet tekst - linje","Tekst","nummer",$G40)</t>
  </si>
  <si>
    <t>=$I41&amp;" "&amp;$J41</t>
  </si>
  <si>
    <t>=NL(,"Udvidet tekst - linje","Tekst","nummer",$G41)</t>
  </si>
  <si>
    <t>=IF($D42&lt;&gt;"",NF($D42,"Nummer"),"")</t>
  </si>
  <si>
    <t>=$I42&amp;" "&amp;$J42</t>
  </si>
  <si>
    <t>=IF($D42&lt;&gt;"",NF($D42,"Beskrivelse"),"")</t>
  </si>
  <si>
    <t>=NL(,"Udvidet tekst - linje","Tekst","nummer",$G42)</t>
  </si>
  <si>
    <t>=IF($D42&lt;&gt;"",NF($D42,"Måleantal")&amp;"   "&amp;NF($D42,"Måleenhed"),"")</t>
  </si>
  <si>
    <t>=IF($D42&lt;&gt;"",NF($D42,"50014 Kolliantal "),"")</t>
  </si>
  <si>
    <t>=IF($D43&lt;&gt;"",NF($D43,"Nummer"),"")</t>
  </si>
  <si>
    <t>=$I43&amp;" "&amp;$J43</t>
  </si>
  <si>
    <t>=IF($D43&lt;&gt;"",NF($D43,"Beskrivelse"),"")</t>
  </si>
  <si>
    <t>=NL(,"Udvidet tekst - linje","Tekst","nummer",$G43)</t>
  </si>
  <si>
    <t>=IF($D43&lt;&gt;"",NF($D43,"Måleantal")&amp;"   "&amp;NF($D43,"Måleenhed"),"")</t>
  </si>
  <si>
    <t>=IF($D43&lt;&gt;"",NF($D43,"50014 Kolliantal "),"")</t>
  </si>
  <si>
    <t>=IF($D44&lt;&gt;"",NF($D44,"Nummer"),"")</t>
  </si>
  <si>
    <t>=$I44&amp;" "&amp;$J44</t>
  </si>
  <si>
    <t>=IF($D44&lt;&gt;"",NF($D44,"Beskrivelse"),"")</t>
  </si>
  <si>
    <t>=NL(,"Udvidet tekst - linje","Tekst","nummer",$G44)</t>
  </si>
  <si>
    <t>=IF($D44&lt;&gt;"",NF($D44,"Måleantal")&amp;"   "&amp;NF($D44,"Måleenhed"),"")</t>
  </si>
  <si>
    <t>=IF($D44&lt;&gt;"",NF($D44,"50014 Kolliantal "),"")</t>
  </si>
  <si>
    <t>=$I45&amp;" "&amp;$J45</t>
  </si>
  <si>
    <t>=NL(,"Udvidet tekst - linje","Tekst","nummer",$G45)</t>
  </si>
  <si>
    <t>=IF($D46&lt;&gt;"",NF($D46,"Nummer"),"")</t>
  </si>
  <si>
    <t>=$I46&amp;" "&amp;$J46</t>
  </si>
  <si>
    <t>=IF($D46&lt;&gt;"",NF($D46,"Beskrivelse"),"")</t>
  </si>
  <si>
    <t>=NL(,"Udvidet tekst - linje","Tekst","nummer",$G46)</t>
  </si>
  <si>
    <t>=IF($D46&lt;&gt;"",NF($D46,"Måleantal")&amp;"   "&amp;NF($D46,"Måleenhed"),"")</t>
  </si>
  <si>
    <t>=IF($D46&lt;&gt;"",NF($D46,"50014 Kolliantal "),"")</t>
  </si>
  <si>
    <t>=IF($D47&lt;&gt;"",NF($D47,"Nummer"),"")</t>
  </si>
  <si>
    <t>=$I47&amp;" "&amp;$J47</t>
  </si>
  <si>
    <t>=IF($D47&lt;&gt;"",NF($D47,"Beskrivelse"),"")</t>
  </si>
  <si>
    <t>=NL(,"Udvidet tekst - linje","Tekst","nummer",$G47)</t>
  </si>
  <si>
    <t>=IF($D47&lt;&gt;"",NF($D47,"Måleantal")&amp;"   "&amp;NF($D47,"Måleenhed"),"")</t>
  </si>
  <si>
    <t>=IF($D47&lt;&gt;"",NF($D47,"50014 Kolliantal "),"")</t>
  </si>
  <si>
    <t>=IF($D48&lt;&gt;"",NF($D48,"Nummer"),"")</t>
  </si>
  <si>
    <t>=$I48&amp;" "&amp;$J48</t>
  </si>
  <si>
    <t>=IF($D48&lt;&gt;"",NF($D48,"Beskrivelse"),"")</t>
  </si>
  <si>
    <t>=NL(,"Udvidet tekst - linje","Tekst","nummer",$G48)</t>
  </si>
  <si>
    <t>=IF($D48&lt;&gt;"",NF($D48,"Måleantal")&amp;"   "&amp;NF($D48,"Måleenhed"),"")</t>
  </si>
  <si>
    <t>=IF($D48&lt;&gt;"",NF($D48,"50014 Kolliantal "),"")</t>
  </si>
  <si>
    <t>=$I49&amp;" "&amp;$J49</t>
  </si>
  <si>
    <t>=NL(,"Udvidet tekst - linje","Tekst","nummer",$G49)</t>
  </si>
  <si>
    <t>=IF($D50&lt;&gt;"",NF($D50,"Nummer"),"")</t>
  </si>
  <si>
    <t>=$I50&amp;" "&amp;$J50</t>
  </si>
  <si>
    <t>=IF($D50&lt;&gt;"",NF($D50,"Beskrivelse"),"")</t>
  </si>
  <si>
    <t>=NL(,"Udvidet tekst - linje","Tekst","nummer",$G50)</t>
  </si>
  <si>
    <t>=IF($D50&lt;&gt;"",NF($D50,"Måleantal")&amp;"   "&amp;NF($D50,"Måleenhed"),"")</t>
  </si>
  <si>
    <t>=IF($D50&lt;&gt;"",NF($D50,"50014 Kolliantal "),"")</t>
  </si>
  <si>
    <t>=IF($D51&lt;&gt;"",NF($D51,"Nummer"),"")</t>
  </si>
  <si>
    <t>=$I51&amp;" "&amp;$J51</t>
  </si>
  <si>
    <t>=IF($D51&lt;&gt;"",NF($D51,"Beskrivelse"),"")</t>
  </si>
  <si>
    <t>=NL(,"Udvidet tekst - linje","Tekst","nummer",$G51)</t>
  </si>
  <si>
    <t>=IF($D51&lt;&gt;"",NF($D51,"Måleantal")&amp;"   "&amp;NF($D51,"Måleenhed"),"")</t>
  </si>
  <si>
    <t>=IF($D51&lt;&gt;"",NF($D51,"50014 Kolliantal "),"")</t>
  </si>
  <si>
    <t>="HM JAN 15"</t>
  </si>
  <si>
    <t>="061"</t>
  </si>
  <si>
    <t>=D4</t>
  </si>
  <si>
    <t>="""MyDataSource"",""HELSAM MASTER DRIFT 01-01-14"",""27"",""1"",""1208"""</t>
  </si>
  <si>
    <t>="""MyDataSource"",""HELSAM MASTER DRIFT 01-01-14"",""27"",""1"",""1310"""</t>
  </si>
  <si>
    <t>="""MyDataSource"",""HELSAM MASTER DRIFT 01-01-14"",""27"",""1"",""4998"""</t>
  </si>
  <si>
    <t>="""MyDataSource"",""HELSAM MASTER DRIFT 01-01-14"",""27"",""1"",""7601"""</t>
  </si>
  <si>
    <t>="""MyDataSource"",""HELSAM MASTER DRIFT 01-01-14"",""27"",""1"",""8054"""</t>
  </si>
  <si>
    <t>="""MyDataSource"",""HELSAM MASTER DRIFT 01-01-14"",""27"",""1"",""8055"""</t>
  </si>
  <si>
    <t>="""MyDataSource"",""HELSAM MASTER DRIFT 01-01-14"",""27"",""1"",""8056"""</t>
  </si>
  <si>
    <t>="""MyDataSource"",""HELSAM MASTER DRIFT 01-01-14"",""27"",""1"",""8057"""</t>
  </si>
  <si>
    <t>="""MyDataSource"",""HELSAM MASTER DRIFT 01-01-14"",""27"",""1"",""8315"""</t>
  </si>
  <si>
    <t>="""MyDataSource"",""HELSAM MASTER DRIFT 01-01-14"",""27"",""1"",""8316"""</t>
  </si>
  <si>
    <t>="""MyDataSource"",""HELSAM MASTER DRIFT 01-01-14"",""27"",""1"",""8317"""</t>
  </si>
  <si>
    <t>="""MyDataSource"",""HELSAM MASTER DRIFT 01-01-14"",""27"",""1"",""10000"""</t>
  </si>
  <si>
    <t>="""MyDataSource"",""HELSAM MASTER DRIFT 01-01-14"",""27"",""1"",""10001"""</t>
  </si>
  <si>
    <t>="""MyDataSource"",""HELSAM MASTER DRIFT 01-01-14"",""27"",""1"",""10002"""</t>
  </si>
  <si>
    <t>="""MyDataSource"",""HELSAM MASTER DRIFT 01-01-14"",""27"",""1"",""10003"""</t>
  </si>
  <si>
    <t>="""MyDataSource"",""HELSAM MASTER DRIFT 01-01-14"",""27"",""1"",""10004"""</t>
  </si>
  <si>
    <t>="""MyDataSource"",""HELSAM MASTER DRIFT 01-01-14"",""27"",""1"",""10005"""</t>
  </si>
  <si>
    <t>="""MyDataSource"",""HELSAM MASTER DRIFT 01-01-14"",""27"",""1"",""10006"""</t>
  </si>
  <si>
    <t>="""MyDataSource"",""HELSAM MASTER DRIFT 01-01-14"",""27"",""1"",""10010"""</t>
  </si>
  <si>
    <t>="""MyDataSource"",""HELSAM MASTER DRIFT 01-01-14"",""27"",""1"",""10011"""</t>
  </si>
  <si>
    <t>="""MyDataSource"",""HELSAM MASTER DRIFT 01-01-14"",""27"",""1"",""10014"""</t>
  </si>
  <si>
    <t>="""MyDataSource"",""HELSAM MASTER DRIFT 01-01-14"",""27"",""1"",""10015"""</t>
  </si>
  <si>
    <t>="""MyDataSource"",""HELSAM MASTER DRIFT 01-01-14"",""27"",""1"",""10016"""</t>
  </si>
  <si>
    <t>="""MyDataSource"",""HELSAM MASTER DRIFT 01-01-14"",""27"",""1"",""10019"""</t>
  </si>
  <si>
    <t>="""MyDataSource"",""HELSAM MASTER DRIFT 01-01-14"",""27"",""1"",""10020"""</t>
  </si>
  <si>
    <t>="""MyDataSource"",""HELSAM MASTER DRIFT 01-01-14"",""27"",""1"",""10021"""</t>
  </si>
  <si>
    <t>="""MyDataSource"",""HELSAM MASTER DRIFT 01-01-14"",""27"",""1"",""10023"""</t>
  </si>
  <si>
    <t>="""MyDataSource"",""HELSAM MASTER DRIFT 01-01-14"",""27"",""1"",""10024"""</t>
  </si>
  <si>
    <t>="""MyDataSource"",""HELSAM MASTER DRIFT 01-01-14"",""27"",""1"",""10030"""</t>
  </si>
  <si>
    <t>="""MyDataSource"",""HELSAM MASTER DRIFT 01-01-14"",""27"",""1"",""10031"""</t>
  </si>
  <si>
    <t>="""MyDataSource"",""HELSAM MASTER DRIFT 01-01-14"",""27"",""1"",""10032"""</t>
  </si>
  <si>
    <t>Spar nu</t>
  </si>
  <si>
    <t>Bestil</t>
  </si>
  <si>
    <t>42009</t>
  </si>
  <si>
    <t>=NP("Datofilter",D6,)&amp;"|''"</t>
  </si>
  <si>
    <t>=NP("Datofilter",,D6)</t>
  </si>
  <si>
    <t>=NL(,"23 Kreditor","2 Navn","1 Nummer","@@"&amp;$C19)</t>
  </si>
  <si>
    <t>=IF($D20&lt;&gt;"",NF($D20,"Nummer"),"")</t>
  </si>
  <si>
    <t>=$I20&amp;" "&amp;$J20</t>
  </si>
  <si>
    <t>=IF($D20&lt;&gt;"",NF($D20,"Beskrivelse"),"")</t>
  </si>
  <si>
    <t>=NL(,"Udvidet tekst - linje","Tekst","nummer",$G20)</t>
  </si>
  <si>
    <t>=IF($D20&lt;&gt;"",NF($D20,"Måleantal")&amp;"   "&amp;NF($D20,"Måleenhed"),"")</t>
  </si>
  <si>
    <t>=IF($D20&lt;&gt;"",NF($D20,"50014 Kolliantal "),"")</t>
  </si>
  <si>
    <t>=IF($G20&lt;&gt;"",NL(,"7002 Salgspris","5 Salgspris","2 Salgskode","SALG1","13 Salgstype","Debitorprisgruppe","1 Varenr.",$G20,"15 Slutdato",$D$7),"")</t>
  </si>
  <si>
    <t>=IF($G20&lt;&gt;"",NL(,"7002 Salgspris","50003 Vejledende udsalgspris","2 Salgskode","SALG1","13 Salgstype","Debitorprisgruppe","1 Varenr.",$G20,"15 Slutdato",$D$7),"")</t>
  </si>
  <si>
    <t>=IF($G20&lt;&gt;"",NL("Last","7002 Salgspris","5 Salgspris","2 Salgskode",$D$4,"13 Salgstype","Kampagne","1 Varenr.",$G20,"+4 Startdato",$D$9),"")</t>
  </si>
  <si>
    <t>=IF($G23&lt;&gt;"",NL(,"7002 Salgspris","5 Salgspris","2 Salgskode","SALG1","13 Salgstype","Debitorprisgruppe","1 Varenr.",$G23,"15 Slutdato",$D$7),"")</t>
  </si>
  <si>
    <t>=IF($G23&lt;&gt;"",NL(,"7002 Salgspris","50003 Vejledende udsalgspris","2 Salgskode","SALG1","13 Salgstype","Debitorprisgruppe","1 Varenr.",$G23,"15 Slutdato",$D$7),"")</t>
  </si>
  <si>
    <t>=IF($G23&lt;&gt;"",NL("Last","7002 Salgspris","5 Salgspris","2 Salgskode",$D$4,"13 Salgstype","Kampagne","1 Varenr.",$G23,"+4 Startdato",$D$9),"")</t>
  </si>
  <si>
    <t>=IF($G23&lt;&gt;"",NL("Last","7002 Salgspris","50003 Vejledende udsalgspris","2 Salgskode",$D$4,"13 Salgstype","Kampagne","1 Varenr.",$G23,"+4 Startdato",$D$9),"")</t>
  </si>
  <si>
    <t>=NP("Datofilter";D6;)&amp;"|''"</t>
  </si>
  <si>
    <t>=NP("Datofilter";;D6)</t>
  </si>
  <si>
    <t>=NL(;"23 Kreditor";"2 Navn";"1 Nummer";"@@"&amp;$C19)</t>
  </si>
  <si>
    <t>=HVIS($D20&lt;&gt;"";NF($D20;"Nummer");"")</t>
  </si>
  <si>
    <t>=HVIS($D20&lt;&gt;"";NF($D20;"Beskrivelse");"")</t>
  </si>
  <si>
    <t>=NL(;"Udvidet tekst - linje";"Tekst";"nummer";$G20)</t>
  </si>
  <si>
    <t>=HVIS($D20&lt;&gt;"";NF($D20;"Måleantal")&amp;"   "&amp;NF($D20;"Måleenhed");"")</t>
  </si>
  <si>
    <t>=HVIS($D20&lt;&gt;"";NF($D20;"50014 Kolliantal ");"")</t>
  </si>
  <si>
    <t>=HVIS($G20&lt;&gt;"";NL(;"7002 Salgspris";"5 Salgspris";"2 Salgskode";"SALG1";"13 Salgstype";"Debitorprisgruppe";"1 Varenr.";$G20;"15 Slutdato";$D$7);"")</t>
  </si>
  <si>
    <t>=HVIS($G20&lt;&gt;"";NL(;"7002 Salgspris";"50003 Vejledende udsalgspris";"2 Salgskode";"SALG1";"13 Salgstype";"Debitorprisgruppe";"1 Varenr.";$G20;"15 Slutdato";$D$7);"")</t>
  </si>
  <si>
    <t>=HVIS($G20&lt;&gt;"";NL("Last";"7002 Salgspris";"5 Salgspris";"2 Salgskode";$D$4;"13 Salgstype";"Kampagne";"1 Varenr.";$G20;"+4 Startdato";$D$9);"")</t>
  </si>
  <si>
    <t>Webtekst</t>
  </si>
  <si>
    <t>=IF($G23&lt;&gt;"",NL("Last","7002 Salgspris","Web tekst","2 Salgskode",$D$4,"13 Salgstype","Kampagne","1 Varenr.",$G23,"+4 Startdato",$D$9),"")</t>
  </si>
  <si>
    <t>=N23-P23</t>
  </si>
  <si>
    <t>=NL("Rækker=4","27 Vare","31 Leverandørnr.","1 Nummer",$G20,"+50010 Leverandørnavn","*")</t>
  </si>
  <si>
    <t>=IF($G20&lt;&gt;"",NL("Last","7002 Salgspris","Web tekst","2 Salgskode",$D$4,"13 Salgstype","Kampagne","1 Varenr.",$G20,"+4 Startdato",$D$9),"")</t>
  </si>
  <si>
    <t>=IF($G20&lt;&gt;"",NL("Last","7002 Salgspris","50003 Vejledende udsalgspris","2 Salgskode",$D$4,"13 Salgstype","Kampagne","1 Varenr.",$G20,"+4 Startdato",$D$9),"")</t>
  </si>
  <si>
    <t>=N20-P20</t>
  </si>
  <si>
    <t>=NL("Rækker=4";"27 Vare";"31 Leverandørnr.";"1 Nummer";$G20;"+50010 Leverandørnavn";"*")</t>
  </si>
  <si>
    <t>=HVIS($G20&lt;&gt;"";NL("Last";"7002 Salgspris";"Web tekst";"2 Salgskode";$D$4;"13 Salgstype";"Kampagne";"1 Varenr.";$G20;"+4 Startdato";$D$9);"")</t>
  </si>
  <si>
    <t>=HVIS($G20&lt;&gt;"";NL("Last";"7002 Salgspris";"50003 Vejledende udsalgspris";"2 Salgskode";$D$4;"13 Salgstype";"Kampagne";"1 Varenr.";$G20;"+4 Startdato";$D$9);"")</t>
  </si>
  <si>
    <t>=IF($D21&lt;&gt;"",NF($D21,"Nummer"),"")</t>
  </si>
  <si>
    <t>=$I21&amp;" "&amp;$J21</t>
  </si>
  <si>
    <t>=IF($D21&lt;&gt;"",NF($D21,"Beskrivelse"),"")</t>
  </si>
  <si>
    <t>=NL(,"Udvidet tekst - linje","Tekst","nummer",$G21)</t>
  </si>
  <si>
    <t>=IF($G21&lt;&gt;"",NL("Last","7002 Salgspris","Web tekst","2 Salgskode",$D$4,"13 Salgstype","Kampagne","1 Varenr.",$G21,"+4 Startdato",$D$9),"")</t>
  </si>
  <si>
    <t>=IF($D21&lt;&gt;"",NF($D21,"Måleantal")&amp;"   "&amp;NF($D21,"Måleenhed"),"")</t>
  </si>
  <si>
    <t>=IF($D21&lt;&gt;"",NF($D21,"50014 Kolliantal "),"")</t>
  </si>
  <si>
    <t>=IF($G21&lt;&gt;"",NL(,"7002 Salgspris","5 Salgspris","2 Salgskode","SALG1","13 Salgstype","Debitorprisgruppe","1 Varenr.",$G21,"15 Slutdato",$D$7),"")</t>
  </si>
  <si>
    <t>=IF($G21&lt;&gt;"",NL(,"7002 Salgspris","50003 Vejledende udsalgspris","2 Salgskode","SALG1","13 Salgstype","Debitorprisgruppe","1 Varenr.",$G21,"15 Slutdato",$D$7),"")</t>
  </si>
  <si>
    <t>=IF($G21&lt;&gt;"",NL("Last","7002 Salgspris","5 Salgspris","2 Salgskode",$D$4,"13 Salgstype","Kampagne","1 Varenr.",$G21,"+4 Startdato",$D$9),"")</t>
  </si>
  <si>
    <t>=IF($G21&lt;&gt;"",NL("Last","7002 Salgspris","50003 Vejledende udsalgspris","2 Salgskode",$D$4,"13 Salgstype","Kampagne","1 Varenr.",$G21,"+4 Startdato",$D$9),"")</t>
  </si>
  <si>
    <t>=N21-P21</t>
  </si>
  <si>
    <t>=IF($G22&lt;&gt;"",NL("Last","7002 Salgspris","Web tekst","2 Salgskode",$D$4,"13 Salgstype","Kampagne","1 Varenr.",$G22,"+4 Startdato",$D$9),"")</t>
  </si>
  <si>
    <t>=IF($G22&lt;&gt;"",NL(,"7002 Salgspris","5 Salgspris","2 Salgskode","SALG1","13 Salgstype","Debitorprisgruppe","1 Varenr.",$G22,"15 Slutdato",$D$7),"")</t>
  </si>
  <si>
    <t>=IF($G22&lt;&gt;"",NL(,"7002 Salgspris","50003 Vejledende udsalgspris","2 Salgskode","SALG1","13 Salgstype","Debitorprisgruppe","1 Varenr.",$G22,"15 Slutdato",$D$7),"")</t>
  </si>
  <si>
    <t>=IF($G22&lt;&gt;"",NL("Last","7002 Salgspris","5 Salgspris","2 Salgskode",$D$4,"13 Salgstype","Kampagne","1 Varenr.",$G22,"+4 Startdato",$D$9),"")</t>
  </si>
  <si>
    <t>=IF($G22&lt;&gt;"",NL("Last","7002 Salgspris","50003 Vejledende udsalgspris","2 Salgskode",$D$4,"13 Salgstype","Kampagne","1 Varenr.",$G22,"+4 Startdato",$D$9),"")</t>
  </si>
  <si>
    <t>=N22-P22</t>
  </si>
  <si>
    <t>=IF($G24&lt;&gt;"",NL("Last","7002 Salgspris","Web tekst","2 Salgskode",$D$4,"13 Salgstype","Kampagne","1 Varenr.",$G24,"+4 Startdato",$D$9),"")</t>
  </si>
  <si>
    <t>=IF($G24&lt;&gt;"",NL(,"7002 Salgspris","5 Salgspris","2 Salgskode","SALG1","13 Salgstype","Debitorprisgruppe","1 Varenr.",$G24,"15 Slutdato",$D$7),"")</t>
  </si>
  <si>
    <t>=IF($G24&lt;&gt;"",NL(,"7002 Salgspris","50003 Vejledende udsalgspris","2 Salgskode","SALG1","13 Salgstype","Debitorprisgruppe","1 Varenr.",$G24,"15 Slutdato",$D$7),"")</t>
  </si>
  <si>
    <t>=IF($G24&lt;&gt;"",NL("Last","7002 Salgspris","5 Salgspris","2 Salgskode",$D$4,"13 Salgstype","Kampagne","1 Varenr.",$G24,"+4 Startdato",$D$9),"")</t>
  </si>
  <si>
    <t>=IF($G24&lt;&gt;"",NL("Last","7002 Salgspris","50003 Vejledende udsalgspris","2 Salgskode",$D$4,"13 Salgstype","Kampagne","1 Varenr.",$G24,"+4 Startdato",$D$9),"")</t>
  </si>
  <si>
    <t>=N24-P24</t>
  </si>
  <si>
    <t>=IF($G25&lt;&gt;"",NL("Last","7002 Salgspris","Web tekst","2 Salgskode",$D$4,"13 Salgstype","Kampagne","1 Varenr.",$G25,"+4 Startdato",$D$9),"")</t>
  </si>
  <si>
    <t>=IF($G25&lt;&gt;"",NL(,"7002 Salgspris","5 Salgspris","2 Salgskode","SALG1","13 Salgstype","Debitorprisgruppe","1 Varenr.",$G25,"15 Slutdato",$D$7),"")</t>
  </si>
  <si>
    <t>=IF($G25&lt;&gt;"",NL(,"7002 Salgspris","50003 Vejledende udsalgspris","2 Salgskode","SALG1","13 Salgstype","Debitorprisgruppe","1 Varenr.",$G25,"15 Slutdato",$D$7),"")</t>
  </si>
  <si>
    <t>=IF($G25&lt;&gt;"",NL("Last","7002 Salgspris","5 Salgspris","2 Salgskode",$D$4,"13 Salgstype","Kampagne","1 Varenr.",$G25,"+4 Startdato",$D$9),"")</t>
  </si>
  <si>
    <t>=IF($G25&lt;&gt;"",NL("Last","7002 Salgspris","50003 Vejledende udsalgspris","2 Salgskode",$D$4,"13 Salgstype","Kampagne","1 Varenr.",$G25,"+4 Startdato",$D$9),"")</t>
  </si>
  <si>
    <t>=N25-P25</t>
  </si>
  <si>
    <t>=IF($G26&lt;&gt;"",NL("Last","7002 Salgspris","Web tekst","2 Salgskode",$D$4,"13 Salgstype","Kampagne","1 Varenr.",$G26,"+4 Startdato",$D$9),"")</t>
  </si>
  <si>
    <t>=IF($G26&lt;&gt;"",NL(,"7002 Salgspris","5 Salgspris","2 Salgskode","SALG1","13 Salgstype","Debitorprisgruppe","1 Varenr.",$G26,"15 Slutdato",$D$7),"")</t>
  </si>
  <si>
    <t>=IF($G26&lt;&gt;"",NL(,"7002 Salgspris","50003 Vejledende udsalgspris","2 Salgskode","SALG1","13 Salgstype","Debitorprisgruppe","1 Varenr.",$G26,"15 Slutdato",$D$7),"")</t>
  </si>
  <si>
    <t>=IF($G26&lt;&gt;"",NL("Last","7002 Salgspris","5 Salgspris","2 Salgskode",$D$4,"13 Salgstype","Kampagne","1 Varenr.",$G26,"+4 Startdato",$D$9),"")</t>
  </si>
  <si>
    <t>=IF($G26&lt;&gt;"",NL("Last","7002 Salgspris","50003 Vejledende udsalgspris","2 Salgskode",$D$4,"13 Salgstype","Kampagne","1 Varenr.",$G26,"+4 Startdato",$D$9),"")</t>
  </si>
  <si>
    <t>=N26-P26</t>
  </si>
  <si>
    <t>=IF($G27&lt;&gt;"",NL("Last","7002 Salgspris","Web tekst","2 Salgskode",$D$4,"13 Salgstype","Kampagne","1 Varenr.",$G27,"+4 Startdato",$D$9),"")</t>
  </si>
  <si>
    <t>=IF($G27&lt;&gt;"",NL(,"7002 Salgspris","5 Salgspris","2 Salgskode","SALG1","13 Salgstype","Debitorprisgruppe","1 Varenr.",$G27,"15 Slutdato",$D$7),"")</t>
  </si>
  <si>
    <t>=IF($G27&lt;&gt;"",NL(,"7002 Salgspris","50003 Vejledende udsalgspris","2 Salgskode","SALG1","13 Salgstype","Debitorprisgruppe","1 Varenr.",$G27,"15 Slutdato",$D$7),"")</t>
  </si>
  <si>
    <t>=IF($G27&lt;&gt;"",NL("Last","7002 Salgspris","5 Salgspris","2 Salgskode",$D$4,"13 Salgstype","Kampagne","1 Varenr.",$G27,"+4 Startdato",$D$9),"")</t>
  </si>
  <si>
    <t>=IF($G27&lt;&gt;"",NL("Last","7002 Salgspris","50003 Vejledende udsalgspris","2 Salgskode",$D$4,"13 Salgstype","Kampagne","1 Varenr.",$G27,"+4 Startdato",$D$9),"")</t>
  </si>
  <si>
    <t>=N27-P27</t>
  </si>
  <si>
    <t>=IF($G28&lt;&gt;"",NL("Last","7002 Salgspris","Web tekst","2 Salgskode",$D$4,"13 Salgstype","Kampagne","1 Varenr.",$G28,"+4 Startdato",$D$9),"")</t>
  </si>
  <si>
    <t>=IF($G28&lt;&gt;"",NL(,"7002 Salgspris","5 Salgspris","2 Salgskode","SALG1","13 Salgstype","Debitorprisgruppe","1 Varenr.",$G28,"15 Slutdato",$D$7),"")</t>
  </si>
  <si>
    <t>=IF($G28&lt;&gt;"",NL(,"7002 Salgspris","50003 Vejledende udsalgspris","2 Salgskode","SALG1","13 Salgstype","Debitorprisgruppe","1 Varenr.",$G28,"15 Slutdato",$D$7),"")</t>
  </si>
  <si>
    <t>=IF($G28&lt;&gt;"",NL("Last","7002 Salgspris","5 Salgspris","2 Salgskode",$D$4,"13 Salgstype","Kampagne","1 Varenr.",$G28,"+4 Startdato",$D$9),"")</t>
  </si>
  <si>
    <t>=IF($G28&lt;&gt;"",NL("Last","7002 Salgspris","50003 Vejledende udsalgspris","2 Salgskode",$D$4,"13 Salgstype","Kampagne","1 Varenr.",$G28,"+4 Startdato",$D$9),"")</t>
  </si>
  <si>
    <t>=N28-P28</t>
  </si>
  <si>
    <t>=IF($G29&lt;&gt;"",NL("Last","7002 Salgspris","Web tekst","2 Salgskode",$D$4,"13 Salgstype","Kampagne","1 Varenr.",$G29,"+4 Startdato",$D$9),"")</t>
  </si>
  <si>
    <t>=IF($G29&lt;&gt;"",NL(,"7002 Salgspris","5 Salgspris","2 Salgskode","SALG1","13 Salgstype","Debitorprisgruppe","1 Varenr.",$G29,"15 Slutdato",$D$7),"")</t>
  </si>
  <si>
    <t>=IF($G29&lt;&gt;"",NL(,"7002 Salgspris","50003 Vejledende udsalgspris","2 Salgskode","SALG1","13 Salgstype","Debitorprisgruppe","1 Varenr.",$G29,"15 Slutdato",$D$7),"")</t>
  </si>
  <si>
    <t>=IF($G29&lt;&gt;"",NL("Last","7002 Salgspris","5 Salgspris","2 Salgskode",$D$4,"13 Salgstype","Kampagne","1 Varenr.",$G29,"+4 Startdato",$D$9),"")</t>
  </si>
  <si>
    <t>=IF($G29&lt;&gt;"",NL("Last","7002 Salgspris","50003 Vejledende udsalgspris","2 Salgskode",$D$4,"13 Salgstype","Kampagne","1 Varenr.",$G29,"+4 Startdato",$D$9),"")</t>
  </si>
  <si>
    <t>=N29-P29</t>
  </si>
  <si>
    <t>=IF($G30&lt;&gt;"",NL("Last","7002 Salgspris","Web tekst","2 Salgskode",$D$4,"13 Salgstype","Kampagne","1 Varenr.",$G30,"+4 Startdato",$D$9),"")</t>
  </si>
  <si>
    <t>=IF($G30&lt;&gt;"",NL(,"7002 Salgspris","5 Salgspris","2 Salgskode","SALG1","13 Salgstype","Debitorprisgruppe","1 Varenr.",$G30,"15 Slutdato",$D$7),"")</t>
  </si>
  <si>
    <t>=IF($G30&lt;&gt;"",NL(,"7002 Salgspris","50003 Vejledende udsalgspris","2 Salgskode","SALG1","13 Salgstype","Debitorprisgruppe","1 Varenr.",$G30,"15 Slutdato",$D$7),"")</t>
  </si>
  <si>
    <t>=IF($G30&lt;&gt;"",NL("Last","7002 Salgspris","5 Salgspris","2 Salgskode",$D$4,"13 Salgstype","Kampagne","1 Varenr.",$G30,"+4 Startdato",$D$9),"")</t>
  </si>
  <si>
    <t>=IF($G30&lt;&gt;"",NL("Last","7002 Salgspris","50003 Vejledende udsalgspris","2 Salgskode",$D$4,"13 Salgstype","Kampagne","1 Varenr.",$G30,"+4 Startdato",$D$9),"")</t>
  </si>
  <si>
    <t>=N30-P30</t>
  </si>
  <si>
    <t>=IF($G31&lt;&gt;"",NL("Last","7002 Salgspris","Web tekst","2 Salgskode",$D$4,"13 Salgstype","Kampagne","1 Varenr.",$G31,"+4 Startdato",$D$9),"")</t>
  </si>
  <si>
    <t>=IF($G31&lt;&gt;"",NL(,"7002 Salgspris","5 Salgspris","2 Salgskode","SALG1","13 Salgstype","Debitorprisgruppe","1 Varenr.",$G31,"15 Slutdato",$D$7),"")</t>
  </si>
  <si>
    <t>=IF($G31&lt;&gt;"",NL(,"7002 Salgspris","50003 Vejledende udsalgspris","2 Salgskode","SALG1","13 Salgstype","Debitorprisgruppe","1 Varenr.",$G31,"15 Slutdato",$D$7),"")</t>
  </si>
  <si>
    <t>=IF($G31&lt;&gt;"",NL("Last","7002 Salgspris","5 Salgspris","2 Salgskode",$D$4,"13 Salgstype","Kampagne","1 Varenr.",$G31,"+4 Startdato",$D$9),"")</t>
  </si>
  <si>
    <t>=IF($G31&lt;&gt;"",NL("Last","7002 Salgspris","50003 Vejledende udsalgspris","2 Salgskode",$D$4,"13 Salgstype","Kampagne","1 Varenr.",$G31,"+4 Startdato",$D$9),"")</t>
  </si>
  <si>
    <t>=N31-P31</t>
  </si>
  <si>
    <t>=IF($G32&lt;&gt;"",NL("Last","7002 Salgspris","Web tekst","2 Salgskode",$D$4,"13 Salgstype","Kampagne","1 Varenr.",$G32,"+4 Startdato",$D$9),"")</t>
  </si>
  <si>
    <t>=IF($G32&lt;&gt;"",NL(,"7002 Salgspris","5 Salgspris","2 Salgskode","SALG1","13 Salgstype","Debitorprisgruppe","1 Varenr.",$G32,"15 Slutdato",$D$7),"")</t>
  </si>
  <si>
    <t>=IF($G32&lt;&gt;"",NL(,"7002 Salgspris","50003 Vejledende udsalgspris","2 Salgskode","SALG1","13 Salgstype","Debitorprisgruppe","1 Varenr.",$G32,"15 Slutdato",$D$7),"")</t>
  </si>
  <si>
    <t>=IF($G32&lt;&gt;"",NL("Last","7002 Salgspris","5 Salgspris","2 Salgskode",$D$4,"13 Salgstype","Kampagne","1 Varenr.",$G32,"+4 Startdato",$D$9),"")</t>
  </si>
  <si>
    <t>=IF($G32&lt;&gt;"",NL("Last","7002 Salgspris","50003 Vejledende udsalgspris","2 Salgskode",$D$4,"13 Salgstype","Kampagne","1 Varenr.",$G32,"+4 Startdato",$D$9),"")</t>
  </si>
  <si>
    <t>=N32-P32</t>
  </si>
  <si>
    <t>=IF($G33&lt;&gt;"",NL("Last","7002 Salgspris","Web tekst","2 Salgskode",$D$4,"13 Salgstype","Kampagne","1 Varenr.",$G33,"+4 Startdato",$D$9),"")</t>
  </si>
  <si>
    <t>=IF($G33&lt;&gt;"",NL(,"7002 Salgspris","5 Salgspris","2 Salgskode","SALG1","13 Salgstype","Debitorprisgruppe","1 Varenr.",$G33,"15 Slutdato",$D$7),"")</t>
  </si>
  <si>
    <t>=IF($G33&lt;&gt;"",NL(,"7002 Salgspris","50003 Vejledende udsalgspris","2 Salgskode","SALG1","13 Salgstype","Debitorprisgruppe","1 Varenr.",$G33,"15 Slutdato",$D$7),"")</t>
  </si>
  <si>
    <t>=IF($G33&lt;&gt;"",NL("Last","7002 Salgspris","5 Salgspris","2 Salgskode",$D$4,"13 Salgstype","Kampagne","1 Varenr.",$G33,"+4 Startdato",$D$9),"")</t>
  </si>
  <si>
    <t>=IF($G33&lt;&gt;"",NL("Last","7002 Salgspris","50003 Vejledende udsalgspris","2 Salgskode",$D$4,"13 Salgstype","Kampagne","1 Varenr.",$G33,"+4 Startdato",$D$9),"")</t>
  </si>
  <si>
    <t>=N33-P33</t>
  </si>
  <si>
    <t>=IF($G34&lt;&gt;"",NL("Last","7002 Salgspris","Web tekst","2 Salgskode",$D$4,"13 Salgstype","Kampagne","1 Varenr.",$G34,"+4 Startdato",$D$9),"")</t>
  </si>
  <si>
    <t>=IF($G34&lt;&gt;"",NL(,"7002 Salgspris","5 Salgspris","2 Salgskode","SALG1","13 Salgstype","Debitorprisgruppe","1 Varenr.",$G34,"15 Slutdato",$D$7),"")</t>
  </si>
  <si>
    <t>=IF($G34&lt;&gt;"",NL(,"7002 Salgspris","50003 Vejledende udsalgspris","2 Salgskode","SALG1","13 Salgstype","Debitorprisgruppe","1 Varenr.",$G34,"15 Slutdato",$D$7),"")</t>
  </si>
  <si>
    <t>=IF($G34&lt;&gt;"",NL("Last","7002 Salgspris","5 Salgspris","2 Salgskode",$D$4,"13 Salgstype","Kampagne","1 Varenr.",$G34,"+4 Startdato",$D$9),"")</t>
  </si>
  <si>
    <t>=IF($G34&lt;&gt;"",NL("Last","7002 Salgspris","50003 Vejledende udsalgspris","2 Salgskode",$D$4,"13 Salgstype","Kampagne","1 Varenr.",$G34,"+4 Startdato",$D$9),"")</t>
  </si>
  <si>
    <t>=N34-P34</t>
  </si>
  <si>
    <t>=IF($G35&lt;&gt;"",NL("Last","7002 Salgspris","Web tekst","2 Salgskode",$D$4,"13 Salgstype","Kampagne","1 Varenr.",$G35,"+4 Startdato",$D$9),"")</t>
  </si>
  <si>
    <t>=IF($G35&lt;&gt;"",NL(,"7002 Salgspris","5 Salgspris","2 Salgskode","SALG1","13 Salgstype","Debitorprisgruppe","1 Varenr.",$G35,"15 Slutdato",$D$7),"")</t>
  </si>
  <si>
    <t>=IF($G35&lt;&gt;"",NL(,"7002 Salgspris","50003 Vejledende udsalgspris","2 Salgskode","SALG1","13 Salgstype","Debitorprisgruppe","1 Varenr.",$G35,"15 Slutdato",$D$7),"")</t>
  </si>
  <si>
    <t>=IF($G35&lt;&gt;"",NL("Last","7002 Salgspris","5 Salgspris","2 Salgskode",$D$4,"13 Salgstype","Kampagne","1 Varenr.",$G35,"+4 Startdato",$D$9),"")</t>
  </si>
  <si>
    <t>=IF($G35&lt;&gt;"",NL("Last","7002 Salgspris","50003 Vejledende udsalgspris","2 Salgskode",$D$4,"13 Salgstype","Kampagne","1 Varenr.",$G35,"+4 Startdato",$D$9),"")</t>
  </si>
  <si>
    <t>=N35-P35</t>
  </si>
  <si>
    <t>=IF($G36&lt;&gt;"",NL("Last","7002 Salgspris","Web tekst","2 Salgskode",$D$4,"13 Salgstype","Kampagne","1 Varenr.",$G36,"+4 Startdato",$D$9),"")</t>
  </si>
  <si>
    <t>=IF($G36&lt;&gt;"",NL(,"7002 Salgspris","5 Salgspris","2 Salgskode","SALG1","13 Salgstype","Debitorprisgruppe","1 Varenr.",$G36,"15 Slutdato",$D$7),"")</t>
  </si>
  <si>
    <t>=IF($G36&lt;&gt;"",NL(,"7002 Salgspris","50003 Vejledende udsalgspris","2 Salgskode","SALG1","13 Salgstype","Debitorprisgruppe","1 Varenr.",$G36,"15 Slutdato",$D$7),"")</t>
  </si>
  <si>
    <t>=IF($G36&lt;&gt;"",NL("Last","7002 Salgspris","5 Salgspris","2 Salgskode",$D$4,"13 Salgstype","Kampagne","1 Varenr.",$G36,"+4 Startdato",$D$9),"")</t>
  </si>
  <si>
    <t>=IF($G36&lt;&gt;"",NL("Last","7002 Salgspris","50003 Vejledende udsalgspris","2 Salgskode",$D$4,"13 Salgstype","Kampagne","1 Varenr.",$G36,"+4 Startdato",$D$9),"")</t>
  </si>
  <si>
    <t>=N36-P36</t>
  </si>
  <si>
    <t>=IF($G37&lt;&gt;"",NL("Last","7002 Salgspris","Web tekst","2 Salgskode",$D$4,"13 Salgstype","Kampagne","1 Varenr.",$G37,"+4 Startdato",$D$9),"")</t>
  </si>
  <si>
    <t>=IF($G37&lt;&gt;"",NL(,"7002 Salgspris","5 Salgspris","2 Salgskode","SALG1","13 Salgstype","Debitorprisgruppe","1 Varenr.",$G37,"15 Slutdato",$D$7),"")</t>
  </si>
  <si>
    <t>=IF($G37&lt;&gt;"",NL(,"7002 Salgspris","50003 Vejledende udsalgspris","2 Salgskode","SALG1","13 Salgstype","Debitorprisgruppe","1 Varenr.",$G37,"15 Slutdato",$D$7),"")</t>
  </si>
  <si>
    <t>=IF($G37&lt;&gt;"",NL("Last","7002 Salgspris","5 Salgspris","2 Salgskode",$D$4,"13 Salgstype","Kampagne","1 Varenr.",$G37,"+4 Startdato",$D$9),"")</t>
  </si>
  <si>
    <t>=IF($G37&lt;&gt;"",NL("Last","7002 Salgspris","50003 Vejledende udsalgspris","2 Salgskode",$D$4,"13 Salgstype","Kampagne","1 Varenr.",$G37,"+4 Startdato",$D$9),"")</t>
  </si>
  <si>
    <t>=N37-P37</t>
  </si>
  <si>
    <t>=IF($G38&lt;&gt;"",NL("Last","7002 Salgspris","Web tekst","2 Salgskode",$D$4,"13 Salgstype","Kampagne","1 Varenr.",$G38,"+4 Startdato",$D$9),"")</t>
  </si>
  <si>
    <t>=IF($G38&lt;&gt;"",NL(,"7002 Salgspris","5 Salgspris","2 Salgskode","SALG1","13 Salgstype","Debitorprisgruppe","1 Varenr.",$G38,"15 Slutdato",$D$7),"")</t>
  </si>
  <si>
    <t>=IF($G38&lt;&gt;"",NL(,"7002 Salgspris","50003 Vejledende udsalgspris","2 Salgskode","SALG1","13 Salgstype","Debitorprisgruppe","1 Varenr.",$G38,"15 Slutdato",$D$7),"")</t>
  </si>
  <si>
    <t>=IF($G38&lt;&gt;"",NL("Last","7002 Salgspris","5 Salgspris","2 Salgskode",$D$4,"13 Salgstype","Kampagne","1 Varenr.",$G38,"+4 Startdato",$D$9),"")</t>
  </si>
  <si>
    <t>=IF($G38&lt;&gt;"",NL("Last","7002 Salgspris","50003 Vejledende udsalgspris","2 Salgskode",$D$4,"13 Salgstype","Kampagne","1 Varenr.",$G38,"+4 Startdato",$D$9),"")</t>
  </si>
  <si>
    <t>=N38-P38</t>
  </si>
  <si>
    <t>=IF($G39&lt;&gt;"",NL("Last","7002 Salgspris","Web tekst","2 Salgskode",$D$4,"13 Salgstype","Kampagne","1 Varenr.",$G39,"+4 Startdato",$D$9),"")</t>
  </si>
  <si>
    <t>=IF($G39&lt;&gt;"",NL(,"7002 Salgspris","5 Salgspris","2 Salgskode","SALG1","13 Salgstype","Debitorprisgruppe","1 Varenr.",$G39,"15 Slutdato",$D$7),"")</t>
  </si>
  <si>
    <t>=IF($G39&lt;&gt;"",NL(,"7002 Salgspris","50003 Vejledende udsalgspris","2 Salgskode","SALG1","13 Salgstype","Debitorprisgruppe","1 Varenr.",$G39,"15 Slutdato",$D$7),"")</t>
  </si>
  <si>
    <t>=IF($G39&lt;&gt;"",NL("Last","7002 Salgspris","5 Salgspris","2 Salgskode",$D$4,"13 Salgstype","Kampagne","1 Varenr.",$G39,"+4 Startdato",$D$9),"")</t>
  </si>
  <si>
    <t>=IF($G39&lt;&gt;"",NL("Last","7002 Salgspris","50003 Vejledende udsalgspris","2 Salgskode",$D$4,"13 Salgstype","Kampagne","1 Varenr.",$G39,"+4 Startdato",$D$9),"")</t>
  </si>
  <si>
    <t>=N39-P39</t>
  </si>
  <si>
    <t>=IF($G40&lt;&gt;"",NL("Last","7002 Salgspris","Web tekst","2 Salgskode",$D$4,"13 Salgstype","Kampagne","1 Varenr.",$G40,"+4 Startdato",$D$9),"")</t>
  </si>
  <si>
    <t>=IF($G40&lt;&gt;"",NL(,"7002 Salgspris","5 Salgspris","2 Salgskode","SALG1","13 Salgstype","Debitorprisgruppe","1 Varenr.",$G40,"15 Slutdato",$D$7),"")</t>
  </si>
  <si>
    <t>=IF($G40&lt;&gt;"",NL(,"7002 Salgspris","50003 Vejledende udsalgspris","2 Salgskode","SALG1","13 Salgstype","Debitorprisgruppe","1 Varenr.",$G40,"15 Slutdato",$D$7),"")</t>
  </si>
  <si>
    <t>=IF($G40&lt;&gt;"",NL("Last","7002 Salgspris","5 Salgspris","2 Salgskode",$D$4,"13 Salgstype","Kampagne","1 Varenr.",$G40,"+4 Startdato",$D$9),"")</t>
  </si>
  <si>
    <t>=IF($G40&lt;&gt;"",NL("Last","7002 Salgspris","50003 Vejledende udsalgspris","2 Salgskode",$D$4,"13 Salgstype","Kampagne","1 Varenr.",$G40,"+4 Startdato",$D$9),"")</t>
  </si>
  <si>
    <t>=N40-P40</t>
  </si>
  <si>
    <t>=IF($G41&lt;&gt;"",NL("Last","7002 Salgspris","Web tekst","2 Salgskode",$D$4,"13 Salgstype","Kampagne","1 Varenr.",$G41,"+4 Startdato",$D$9),"")</t>
  </si>
  <si>
    <t>=IF($G41&lt;&gt;"",NL(,"7002 Salgspris","5 Salgspris","2 Salgskode","SALG1","13 Salgstype","Debitorprisgruppe","1 Varenr.",$G41,"15 Slutdato",$D$7),"")</t>
  </si>
  <si>
    <t>=IF($G41&lt;&gt;"",NL(,"7002 Salgspris","50003 Vejledende udsalgspris","2 Salgskode","SALG1","13 Salgstype","Debitorprisgruppe","1 Varenr.",$G41,"15 Slutdato",$D$7),"")</t>
  </si>
  <si>
    <t>=IF($G41&lt;&gt;"",NL("Last","7002 Salgspris","5 Salgspris","2 Salgskode",$D$4,"13 Salgstype","Kampagne","1 Varenr.",$G41,"+4 Startdato",$D$9),"")</t>
  </si>
  <si>
    <t>=IF($G41&lt;&gt;"",NL("Last","7002 Salgspris","50003 Vejledende udsalgspris","2 Salgskode",$D$4,"13 Salgstype","Kampagne","1 Varenr.",$G41,"+4 Startdato",$D$9),"")</t>
  </si>
  <si>
    <t>=N41-P41</t>
  </si>
  <si>
    <t>=IF($G42&lt;&gt;"",NL("Last","7002 Salgspris","Web tekst","2 Salgskode",$D$4,"13 Salgstype","Kampagne","1 Varenr.",$G42,"+4 Startdato",$D$9),"")</t>
  </si>
  <si>
    <t>=IF($G42&lt;&gt;"",NL(,"7002 Salgspris","5 Salgspris","2 Salgskode","SALG1","13 Salgstype","Debitorprisgruppe","1 Varenr.",$G42,"15 Slutdato",$D$7),"")</t>
  </si>
  <si>
    <t>=IF($G42&lt;&gt;"",NL(,"7002 Salgspris","50003 Vejledende udsalgspris","2 Salgskode","SALG1","13 Salgstype","Debitorprisgruppe","1 Varenr.",$G42,"15 Slutdato",$D$7),"")</t>
  </si>
  <si>
    <t>=IF($G42&lt;&gt;"",NL("Last","7002 Salgspris","5 Salgspris","2 Salgskode",$D$4,"13 Salgstype","Kampagne","1 Varenr.",$G42,"+4 Startdato",$D$9),"")</t>
  </si>
  <si>
    <t>=IF($G42&lt;&gt;"",NL("Last","7002 Salgspris","50003 Vejledende udsalgspris","2 Salgskode",$D$4,"13 Salgstype","Kampagne","1 Varenr.",$G42,"+4 Startdato",$D$9),"")</t>
  </si>
  <si>
    <t>=N42-P42</t>
  </si>
  <si>
    <t>=IF($G43&lt;&gt;"",NL("Last","7002 Salgspris","Web tekst","2 Salgskode",$D$4,"13 Salgstype","Kampagne","1 Varenr.",$G43,"+4 Startdato",$D$9),"")</t>
  </si>
  <si>
    <t>=IF($G43&lt;&gt;"",NL(,"7002 Salgspris","5 Salgspris","2 Salgskode","SALG1","13 Salgstype","Debitorprisgruppe","1 Varenr.",$G43,"15 Slutdato",$D$7),"")</t>
  </si>
  <si>
    <t>=IF($G43&lt;&gt;"",NL(,"7002 Salgspris","50003 Vejledende udsalgspris","2 Salgskode","SALG1","13 Salgstype","Debitorprisgruppe","1 Varenr.",$G43,"15 Slutdato",$D$7),"")</t>
  </si>
  <si>
    <t>=IF($G43&lt;&gt;"",NL("Last","7002 Salgspris","5 Salgspris","2 Salgskode",$D$4,"13 Salgstype","Kampagne","1 Varenr.",$G43,"+4 Startdato",$D$9),"")</t>
  </si>
  <si>
    <t>=IF($G43&lt;&gt;"",NL("Last","7002 Salgspris","50003 Vejledende udsalgspris","2 Salgskode",$D$4,"13 Salgstype","Kampagne","1 Varenr.",$G43,"+4 Startdato",$D$9),"")</t>
  </si>
  <si>
    <t>=N43-P43</t>
  </si>
  <si>
    <t>=IF($G44&lt;&gt;"",NL("Last","7002 Salgspris","Web tekst","2 Salgskode",$D$4,"13 Salgstype","Kampagne","1 Varenr.",$G44,"+4 Startdato",$D$9),"")</t>
  </si>
  <si>
    <t>=IF($G44&lt;&gt;"",NL(,"7002 Salgspris","5 Salgspris","2 Salgskode","SALG1","13 Salgstype","Debitorprisgruppe","1 Varenr.",$G44,"15 Slutdato",$D$7),"")</t>
  </si>
  <si>
    <t>=IF($G44&lt;&gt;"",NL(,"7002 Salgspris","50003 Vejledende udsalgspris","2 Salgskode","SALG1","13 Salgstype","Debitorprisgruppe","1 Varenr.",$G44,"15 Slutdato",$D$7),"")</t>
  </si>
  <si>
    <t>=IF($G44&lt;&gt;"",NL("Last","7002 Salgspris","5 Salgspris","2 Salgskode",$D$4,"13 Salgstype","Kampagne","1 Varenr.",$G44,"+4 Startdato",$D$9),"")</t>
  </si>
  <si>
    <t>=IF($G44&lt;&gt;"",NL("Last","7002 Salgspris","50003 Vejledende udsalgspris","2 Salgskode",$D$4,"13 Salgstype","Kampagne","1 Varenr.",$G44,"+4 Startdato",$D$9),"")</t>
  </si>
  <si>
    <t>=N44-P44</t>
  </si>
  <si>
    <t>=IF($G45&lt;&gt;"",NL("Last","7002 Salgspris","Web tekst","2 Salgskode",$D$4,"13 Salgstype","Kampagne","1 Varenr.",$G45,"+4 Startdato",$D$9),"")</t>
  </si>
  <si>
    <t>=IF($G45&lt;&gt;"",NL(,"7002 Salgspris","5 Salgspris","2 Salgskode","SALG1","13 Salgstype","Debitorprisgruppe","1 Varenr.",$G45,"15 Slutdato",$D$7),"")</t>
  </si>
  <si>
    <t>=IF($G45&lt;&gt;"",NL(,"7002 Salgspris","50003 Vejledende udsalgspris","2 Salgskode","SALG1","13 Salgstype","Debitorprisgruppe","1 Varenr.",$G45,"15 Slutdato",$D$7),"")</t>
  </si>
  <si>
    <t>=IF($G45&lt;&gt;"",NL("Last","7002 Salgspris","5 Salgspris","2 Salgskode",$D$4,"13 Salgstype","Kampagne","1 Varenr.",$G45,"+4 Startdato",$D$9),"")</t>
  </si>
  <si>
    <t>=IF($G45&lt;&gt;"",NL("Last","7002 Salgspris","50003 Vejledende udsalgspris","2 Salgskode",$D$4,"13 Salgstype","Kampagne","1 Varenr.",$G45,"+4 Startdato",$D$9),"")</t>
  </si>
  <si>
    <t>=N45-P45</t>
  </si>
  <si>
    <t>=IF($G46&lt;&gt;"",NL("Last","7002 Salgspris","Web tekst","2 Salgskode",$D$4,"13 Salgstype","Kampagne","1 Varenr.",$G46,"+4 Startdato",$D$9),"")</t>
  </si>
  <si>
    <t>=IF($G46&lt;&gt;"",NL(,"7002 Salgspris","5 Salgspris","2 Salgskode","SALG1","13 Salgstype","Debitorprisgruppe","1 Varenr.",$G46,"15 Slutdato",$D$7),"")</t>
  </si>
  <si>
    <t>=IF($G46&lt;&gt;"",NL(,"7002 Salgspris","50003 Vejledende udsalgspris","2 Salgskode","SALG1","13 Salgstype","Debitorprisgruppe","1 Varenr.",$G46,"15 Slutdato",$D$7),"")</t>
  </si>
  <si>
    <t>=IF($G46&lt;&gt;"",NL("Last","7002 Salgspris","5 Salgspris","2 Salgskode",$D$4,"13 Salgstype","Kampagne","1 Varenr.",$G46,"+4 Startdato",$D$9),"")</t>
  </si>
  <si>
    <t>=IF($G46&lt;&gt;"",NL("Last","7002 Salgspris","50003 Vejledende udsalgspris","2 Salgskode",$D$4,"13 Salgstype","Kampagne","1 Varenr.",$G46,"+4 Startdato",$D$9),"")</t>
  </si>
  <si>
    <t>=N46-P46</t>
  </si>
  <si>
    <t>=IF($G47&lt;&gt;"",NL("Last","7002 Salgspris","Web tekst","2 Salgskode",$D$4,"13 Salgstype","Kampagne","1 Varenr.",$G47,"+4 Startdato",$D$9),"")</t>
  </si>
  <si>
    <t>=IF($G47&lt;&gt;"",NL(,"7002 Salgspris","5 Salgspris","2 Salgskode","SALG1","13 Salgstype","Debitorprisgruppe","1 Varenr.",$G47,"15 Slutdato",$D$7),"")</t>
  </si>
  <si>
    <t>=IF($G47&lt;&gt;"",NL(,"7002 Salgspris","50003 Vejledende udsalgspris","2 Salgskode","SALG1","13 Salgstype","Debitorprisgruppe","1 Varenr.",$G47,"15 Slutdato",$D$7),"")</t>
  </si>
  <si>
    <t>=IF($G47&lt;&gt;"",NL("Last","7002 Salgspris","5 Salgspris","2 Salgskode",$D$4,"13 Salgstype","Kampagne","1 Varenr.",$G47,"+4 Startdato",$D$9),"")</t>
  </si>
  <si>
    <t>=IF($G47&lt;&gt;"",NL("Last","7002 Salgspris","50003 Vejledende udsalgspris","2 Salgskode",$D$4,"13 Salgstype","Kampagne","1 Varenr.",$G47,"+4 Startdato",$D$9),"")</t>
  </si>
  <si>
    <t>=N47-P47</t>
  </si>
  <si>
    <t>=IF($G48&lt;&gt;"",NL("Last","7002 Salgspris","Web tekst","2 Salgskode",$D$4,"13 Salgstype","Kampagne","1 Varenr.",$G48,"+4 Startdato",$D$9),"")</t>
  </si>
  <si>
    <t>=IF($G48&lt;&gt;"",NL(,"7002 Salgspris","5 Salgspris","2 Salgskode","SALG1","13 Salgstype","Debitorprisgruppe","1 Varenr.",$G48,"15 Slutdato",$D$7),"")</t>
  </si>
  <si>
    <t>=IF($G48&lt;&gt;"",NL(,"7002 Salgspris","50003 Vejledende udsalgspris","2 Salgskode","SALG1","13 Salgstype","Debitorprisgruppe","1 Varenr.",$G48,"15 Slutdato",$D$7),"")</t>
  </si>
  <si>
    <t>=IF($G48&lt;&gt;"",NL("Last","7002 Salgspris","5 Salgspris","2 Salgskode",$D$4,"13 Salgstype","Kampagne","1 Varenr.",$G48,"+4 Startdato",$D$9),"")</t>
  </si>
  <si>
    <t>=IF($G48&lt;&gt;"",NL("Last","7002 Salgspris","50003 Vejledende udsalgspris","2 Salgskode",$D$4,"13 Salgstype","Kampagne","1 Varenr.",$G48,"+4 Startdato",$D$9),"")</t>
  </si>
  <si>
    <t>=N48-P48</t>
  </si>
  <si>
    <t>=IF($G49&lt;&gt;"",NL("Last","7002 Salgspris","Web tekst","2 Salgskode",$D$4,"13 Salgstype","Kampagne","1 Varenr.",$G49,"+4 Startdato",$D$9),"")</t>
  </si>
  <si>
    <t>=IF($G49&lt;&gt;"",NL(,"7002 Salgspris","5 Salgspris","2 Salgskode","SALG1","13 Salgstype","Debitorprisgruppe","1 Varenr.",$G49,"15 Slutdato",$D$7),"")</t>
  </si>
  <si>
    <t>=IF($G49&lt;&gt;"",NL(,"7002 Salgspris","50003 Vejledende udsalgspris","2 Salgskode","SALG1","13 Salgstype","Debitorprisgruppe","1 Varenr.",$G49,"15 Slutdato",$D$7),"")</t>
  </si>
  <si>
    <t>=IF($G49&lt;&gt;"",NL("Last","7002 Salgspris","5 Salgspris","2 Salgskode",$D$4,"13 Salgstype","Kampagne","1 Varenr.",$G49,"+4 Startdato",$D$9),"")</t>
  </si>
  <si>
    <t>=IF($G49&lt;&gt;"",NL("Last","7002 Salgspris","50003 Vejledende udsalgspris","2 Salgskode",$D$4,"13 Salgstype","Kampagne","1 Varenr.",$G49,"+4 Startdato",$D$9),"")</t>
  </si>
  <si>
    <t>=N49-P49</t>
  </si>
  <si>
    <t>=IF($G50&lt;&gt;"",NL("Last","7002 Salgspris","Web tekst","2 Salgskode",$D$4,"13 Salgstype","Kampagne","1 Varenr.",$G50,"+4 Startdato",$D$9),"")</t>
  </si>
  <si>
    <t>=IF($G50&lt;&gt;"",NL(,"7002 Salgspris","5 Salgspris","2 Salgskode","SALG1","13 Salgstype","Debitorprisgruppe","1 Varenr.",$G50,"15 Slutdato",$D$7),"")</t>
  </si>
  <si>
    <t>=IF($G50&lt;&gt;"",NL(,"7002 Salgspris","50003 Vejledende udsalgspris","2 Salgskode","SALG1","13 Salgstype","Debitorprisgruppe","1 Varenr.",$G50,"15 Slutdato",$D$7),"")</t>
  </si>
  <si>
    <t>=IF($G50&lt;&gt;"",NL("Last","7002 Salgspris","5 Salgspris","2 Salgskode",$D$4,"13 Salgstype","Kampagne","1 Varenr.",$G50,"+4 Startdato",$D$9),"")</t>
  </si>
  <si>
    <t>=IF($G50&lt;&gt;"",NL("Last","7002 Salgspris","50003 Vejledende udsalgspris","2 Salgskode",$D$4,"13 Salgstype","Kampagne","1 Varenr.",$G50,"+4 Startdato",$D$9),"")</t>
  </si>
  <si>
    <t>=N50-P50</t>
  </si>
  <si>
    <t>=IF($G51&lt;&gt;"",NL("Last","7002 Salgspris","Web tekst","2 Salgskode",$D$4,"13 Salgstype","Kampagne","1 Varenr.",$G51,"+4 Startdato",$D$9),"")</t>
  </si>
  <si>
    <t>=IF($G51&lt;&gt;"",NL(,"7002 Salgspris","5 Salgspris","2 Salgskode","SALG1","13 Salgstype","Debitorprisgruppe","1 Varenr.",$G51,"15 Slutdato",$D$7),"")</t>
  </si>
  <si>
    <t>=IF($G51&lt;&gt;"",NL(,"7002 Salgspris","50003 Vejledende udsalgspris","2 Salgskode","SALG1","13 Salgstype","Debitorprisgruppe","1 Varenr.",$G51,"15 Slutdato",$D$7),"")</t>
  </si>
  <si>
    <t>=IF($G51&lt;&gt;"",NL("Last","7002 Salgspris","5 Salgspris","2 Salgskode",$D$4,"13 Salgstype","Kampagne","1 Varenr.",$G51,"+4 Startdato",$D$9),"")</t>
  </si>
  <si>
    <t>=IF($G51&lt;&gt;"",NL("Last","7002 Salgspris","50003 Vejledende udsalgspris","2 Salgskode",$D$4,"13 Salgstype","Kampagne","1 Varenr.",$G51,"+4 Startdato",$D$9),"")</t>
  </si>
  <si>
    <t>=N51-P51</t>
  </si>
  <si>
    <t>Auto+Skjul+Værdier+Formulas=Ark31,Ark32+FormulasOnly</t>
  </si>
  <si>
    <t>Auto+Skjul+Værdier+Formulas=Ark35,Ark31,Ark32+FormulasOnly</t>
  </si>
  <si>
    <t>Startdato</t>
  </si>
  <si>
    <t>Slutdato</t>
  </si>
  <si>
    <t>Datofilter</t>
  </si>
  <si>
    <t>Kampagne:</t>
  </si>
  <si>
    <t>Periode:</t>
  </si>
  <si>
    <t>Skjul+?</t>
  </si>
  <si>
    <t>Titel+Skjul</t>
  </si>
  <si>
    <t>Værdi+Skjul</t>
  </si>
  <si>
    <t>Skjul</t>
  </si>
  <si>
    <t>Indstilling+Skjul</t>
  </si>
  <si>
    <t>SKJUL</t>
  </si>
  <si>
    <t>Auto+Skjul+Værdier</t>
  </si>
  <si>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</si>
  <si>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</si>
  <si>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</si>
  <si>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</si>
  <si>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</si>
  <si>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</si>
  <si>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</si>
  <si>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</si>
  <si>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</si>
  <si>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</si>
  <si>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</si>
  <si>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</si>
  <si>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Januar</t>
  </si>
  <si>
    <t>Februar</t>
  </si>
  <si>
    <t>Marts</t>
  </si>
  <si>
    <t>April</t>
  </si>
  <si>
    <t>Juni</t>
  </si>
  <si>
    <t>Juli</t>
  </si>
  <si>
    <t>August</t>
  </si>
  <si>
    <t>September</t>
  </si>
  <si>
    <t>Oktober</t>
  </si>
  <si>
    <t>November</t>
  </si>
  <si>
    <t>December</t>
  </si>
  <si>
    <t>�</t>
  </si>
  <si>
    <t>=NP("Datofilter",D4,D5)</t>
  </si>
  <si>
    <t>36526</t>
  </si>
  <si>
    <t>=NP("Datofilter",D7,)&amp;"|''"</t>
  </si>
  <si>
    <t>=NP("Datofilter",,D7)</t>
  </si>
  <si>
    <t>=CONCAT('Ark1'!E5," ",'Ark1'!F5)</t>
  </si>
  <si>
    <t>=D6</t>
  </si>
  <si>
    <t>=IF(G25="","Skjul","show")</t>
  </si>
  <si>
    <t>=E24</t>
  </si>
  <si>
    <t>=NF($D24,"1 Nummer")</t>
  </si>
  <si>
    <t>=NF($D24,"2 Navn")</t>
  </si>
  <si>
    <t>=+C24</t>
  </si>
  <si>
    <t>=IF($D25&lt;&gt;"",NF($D25,"1 Nummer"),"")</t>
  </si>
  <si>
    <t>=IF($D25&lt;&gt;"",NF($D25,"Beskrivelse"),"")&amp;" "&amp;NL(,"Udvidet tekst - linje","Tekst","nummer",$G25)</t>
  </si>
  <si>
    <t>=NL(,"6082571 Informations opsætning","11 Værdi","3 Information kode","MÅLEANTAL","2 Nummer",$G25)&amp;" "&amp;NL(,"6082571 Informations opsætning","14 Beskrivelse","3 Information kode","MÅLEENHED","2 Nummer",$G25)</t>
  </si>
  <si>
    <t>=NL(,"5404 Vareenhed","3 Antal pr. enhed","2 Kode","KOLLI","1 Varenr.",$G25)</t>
  </si>
  <si>
    <t>=IF($G25&lt;&gt;"",NL("Last","7002 Salgspris","5 Salgspris","2 Salgskode",$D$3,"13 Salgstype","Kampagne","1 Varenr.",$G25),"")</t>
  </si>
  <si>
    <t>=IF($G25&lt;&gt;"",NL("Last","7002 Salgspris","6082688 Vejl. salgspris afrundet","2 Salgskode",$D$3,"13 Salgstype","Kampagne","1 Varenr.",$G25),"")</t>
  </si>
  <si>
    <t>=IFERROR((L25-N25),"")</t>
  </si>
  <si>
    <t>=NP("Datofilter";D4;D5)</t>
  </si>
  <si>
    <t>=NP("Datofilter";D7;)&amp;"|''"</t>
  </si>
  <si>
    <t>=NP("Datofilter";;D7)</t>
  </si>
  <si>
    <t>=SAMMENKÆDNING('Ark1'!E5;" ";'Ark1'!F5)</t>
  </si>
  <si>
    <t>=HVIS(G25="";"Skjul";"show")</t>
  </si>
  <si>
    <t>=NF($D24;"1 Nummer")</t>
  </si>
  <si>
    <t>=NF($D24;"2 Navn")</t>
  </si>
  <si>
    <t>=HVIS($D25&lt;&gt;"";NF($D25;"1 Nummer");"")</t>
  </si>
  <si>
    <t>=HVIS($D25&lt;&gt;"";NF($D25;"Beskrivelse");"")&amp;" "&amp;NL(;"Udvidet tekst - linje";"Tekst";"nummer";$G25)</t>
  </si>
  <si>
    <t>=NL(;"6082571 Informations opsætning";"11 Værdi";"3 Information kode";"MÅLEANTAL";"2 Nummer";$G25)&amp;" "&amp;NL(;"6082571 Informations opsætning";"14 Beskrivelse";"3 Information kode";"MÅLEENHED";"2 Nummer";$G25)</t>
  </si>
  <si>
    <t>=NL(;"5404 Vareenhed";"3 Antal pr. enhed";"2 Kode";"KOLLI";"1 Varenr.";$G25)</t>
  </si>
  <si>
    <t>=HVIS($G25&lt;&gt;"";NL("Last";"7002 Salgspris";"5 Salgspris";"2 Salgskode";$D$3;"13 Salgstype";"Kampagne";"1 Varenr.";$G25);"")</t>
  </si>
  <si>
    <t>=HVIS($G25&lt;&gt;"";NL("Last";"7002 Salgspris";"6082688 Vejl. salgspris afrundet";"2 Salgskode";$D$3;"13 Salgstype";"Kampagne";"1 Varenr.";$G25);"")</t>
  </si>
  <si>
    <t>=HVIS.FEJL((L25-N25);"")</t>
  </si>
  <si>
    <t>=NL(,"5071 Kampagne","3 Startdato","10 Kampagne Kode",D3)</t>
  </si>
  <si>
    <t>=NL(,"5071 Kampagne","4 Slutdato","10 Kampagne Kode",D3)</t>
  </si>
  <si>
    <t>=NL(,"Kampagne","Slutdato","Nummer","@@"&amp;$D$4)</t>
  </si>
  <si>
    <t>=NL(;"Kampagne";"Slutdato";"Nummer";"@@"&amp;$D$4)</t>
  </si>
  <si>
    <t>=IF(G106="","Skjul","show")</t>
  </si>
  <si>
    <t>=+C105</t>
  </si>
  <si>
    <t>=IF($D106&lt;&gt;"",NF($D106,"1 Nummer"),"")</t>
  </si>
  <si>
    <t>=IF($D106&lt;&gt;"",NF($D106,"Beskrivelse"),"")&amp;" "&amp;NL(,"Udvidet tekst - linje","Tekst","nummer",$G106)</t>
  </si>
  <si>
    <t>=NL(,"6082571 Informations opsætning","11 Værdi","3 Information kode","MÅLEANTAL","2 Nummer",$G106)&amp;" "&amp;NL(,"6082571 Informations opsætning","14 Beskrivelse","3 Information kode","MÅLEENHED","2 Nummer",$G106)</t>
  </si>
  <si>
    <t>=NL(,"5404 Vareenhed","3 Antal pr. enhed","2 Kode","KOLLI","1 Varenr.",$G106)</t>
  </si>
  <si>
    <t>=IF($G106&lt;&gt;"",NL("Last","7002 Salgspris","5 Salgspris","2 Salgskode",$D$3,"13 Salgstype","Kampagne","1 Varenr.",$G106),"")</t>
  </si>
  <si>
    <t>=IF($G106&lt;&gt;"",NL("Last","7002 Salgspris","6082688 Vejl. salgspris afrundet","2 Salgskode",$D$3,"13 Salgstype","Kampagne","1 Varenr.",$G106),"")</t>
  </si>
  <si>
    <t>=IFERROR((L106-N106),"")</t>
  </si>
  <si>
    <t>=IF(G107="","Skjul","show")</t>
  </si>
  <si>
    <t>=+C106</t>
  </si>
  <si>
    <t>=IF($D107&lt;&gt;"",NF($D107,"1 Nummer"),"")</t>
  </si>
  <si>
    <t>=IF($D107&lt;&gt;"",NF($D107,"Beskrivelse"),"")&amp;" "&amp;NL(,"Udvidet tekst - linje","Tekst","nummer",$G107)</t>
  </si>
  <si>
    <t>=NL(,"6082571 Informations opsætning","11 Værdi","3 Information kode","MÅLEANTAL","2 Nummer",$G107)&amp;" "&amp;NL(,"6082571 Informations opsætning","14 Beskrivelse","3 Information kode","MÅLEENHED","2 Nummer",$G107)</t>
  </si>
  <si>
    <t>=NL(,"5404 Vareenhed","3 Antal pr. enhed","2 Kode","KOLLI","1 Varenr.",$G107)</t>
  </si>
  <si>
    <t>=IF($G107&lt;&gt;"",NL("Last","7002 Salgspris","5 Salgspris","2 Salgskode",$D$3,"13 Salgstype","Kampagne","1 Varenr.",$G107),"")</t>
  </si>
  <si>
    <t>=IF($G107&lt;&gt;"",NL("Last","7002 Salgspris","6082688 Vejl. salgspris afrundet","2 Salgskode",$D$3,"13 Salgstype","Kampagne","1 Varenr.",$G107),"")</t>
  </si>
  <si>
    <t>=IFERROR((L107-N107),"")</t>
  </si>
  <si>
    <t>=IF(G112="","Skjul","show")</t>
  </si>
  <si>
    <t>=+C111</t>
  </si>
  <si>
    <t>=IF($D112&lt;&gt;"",NF($D112,"1 Nummer"),"")</t>
  </si>
  <si>
    <t>=IF($D112&lt;&gt;"",NF($D112,"Beskrivelse"),"")&amp;" "&amp;NL(,"Udvidet tekst - linje","Tekst","nummer",$G112)</t>
  </si>
  <si>
    <t>=NL(,"6082571 Informations opsætning","11 Værdi","3 Information kode","MÅLEANTAL","2 Nummer",$G112)&amp;" "&amp;NL(,"6082571 Informations opsætning","14 Beskrivelse","3 Information kode","MÅLEENHED","2 Nummer",$G112)</t>
  </si>
  <si>
    <t>=NL(,"5404 Vareenhed","3 Antal pr. enhed","2 Kode","KOLLI","1 Varenr.",$G112)</t>
  </si>
  <si>
    <t>=IF($G112&lt;&gt;"",NL("Last","7002 Salgspris","5 Salgspris","2 Salgskode",$D$3,"13 Salgstype","Kampagne","1 Varenr.",$G112),"")</t>
  </si>
  <si>
    <t>=IF($G112&lt;&gt;"",NL("Last","7002 Salgspris","6082688 Vejl. salgspris afrundet","2 Salgskode",$D$3,"13 Salgstype","Kampagne","1 Varenr.",$G112),"")</t>
  </si>
  <si>
    <t>=IFERROR((L112-N112),"")</t>
  </si>
  <si>
    <t>=IF(G124="","Skjul","show")</t>
  </si>
  <si>
    <t>=+C123</t>
  </si>
  <si>
    <t>=IF($D124&lt;&gt;"",NF($D124,"1 Nummer"),"")</t>
  </si>
  <si>
    <t>=IF($D124&lt;&gt;"",NF($D124,"Beskrivelse"),"")&amp;" "&amp;NL(,"Udvidet tekst - linje","Tekst","nummer",$G124)</t>
  </si>
  <si>
    <t>=NL(,"6082571 Informations opsætning","11 Værdi","3 Information kode","MÅLEANTAL","2 Nummer",$G124)&amp;" "&amp;NL(,"6082571 Informations opsætning","14 Beskrivelse","3 Information kode","MÅLEENHED","2 Nummer",$G124)</t>
  </si>
  <si>
    <t>=NL(,"5404 Vareenhed","3 Antal pr. enhed","2 Kode","KOLLI","1 Varenr.",$G124)</t>
  </si>
  <si>
    <t>=IF($G124&lt;&gt;"",NL("Last","7002 Salgspris","5 Salgspris","2 Salgskode",$D$3,"13 Salgstype","Kampagne","1 Varenr.",$G124),"")</t>
  </si>
  <si>
    <t>=IF($G124&lt;&gt;"",NL("Last","7002 Salgspris","6082688 Vejl. salgspris afrundet","2 Salgskode",$D$3,"13 Salgstype","Kampagne","1 Varenr.",$G124),"")</t>
  </si>
  <si>
    <t>=IFERROR((L124-N124),"")</t>
  </si>
  <si>
    <t>=IF(G128="","Skjul","show")</t>
  </si>
  <si>
    <t>=+C127</t>
  </si>
  <si>
    <t>=IF($D128&lt;&gt;"",NF($D128,"1 Nummer"),"")</t>
  </si>
  <si>
    <t>=IF($D128&lt;&gt;"",NF($D128,"Beskrivelse"),"")&amp;" "&amp;NL(,"Udvidet tekst - linje","Tekst","nummer",$G128)</t>
  </si>
  <si>
    <t>=NL(,"6082571 Informations opsætning","11 Værdi","3 Information kode","MÅLEANTAL","2 Nummer",$G128)&amp;" "&amp;NL(,"6082571 Informations opsætning","14 Beskrivelse","3 Information kode","MÅLEENHED","2 Nummer",$G128)</t>
  </si>
  <si>
    <t>=NL(,"5404 Vareenhed","3 Antal pr. enhed","2 Kode","KOLLI","1 Varenr.",$G128)</t>
  </si>
  <si>
    <t>=IF($G128&lt;&gt;"",NL("Last","7002 Salgspris","5 Salgspris","2 Salgskode",$D$3,"13 Salgstype","Kampagne","1 Varenr.",$G128),"")</t>
  </si>
  <si>
    <t>=IF($G128&lt;&gt;"",NL("Last","7002 Salgspris","6082688 Vejl. salgspris afrundet","2 Salgskode",$D$3,"13 Salgstype","Kampagne","1 Varenr.",$G128),"")</t>
  </si>
  <si>
    <t>=IFERROR((L128-N128),"")</t>
  </si>
  <si>
    <t>=IF(G129="","Skjul","show")</t>
  </si>
  <si>
    <t>=+C128</t>
  </si>
  <si>
    <t>=IF($D129&lt;&gt;"",NF($D129,"1 Nummer"),"")</t>
  </si>
  <si>
    <t>=IF($D129&lt;&gt;"",NF($D129,"Beskrivelse"),"")&amp;" "&amp;NL(,"Udvidet tekst - linje","Tekst","nummer",$G129)</t>
  </si>
  <si>
    <t>=NL(,"6082571 Informations opsætning","11 Værdi","3 Information kode","MÅLEANTAL","2 Nummer",$G129)&amp;" "&amp;NL(,"6082571 Informations opsætning","14 Beskrivelse","3 Information kode","MÅLEENHED","2 Nummer",$G129)</t>
  </si>
  <si>
    <t>=NL(,"5404 Vareenhed","3 Antal pr. enhed","2 Kode","KOLLI","1 Varenr.",$G129)</t>
  </si>
  <si>
    <t>=IF($G129&lt;&gt;"",NL("Last","7002 Salgspris","5 Salgspris","2 Salgskode",$D$3,"13 Salgstype","Kampagne","1 Varenr.",$G129),"")</t>
  </si>
  <si>
    <t>=IF($G129&lt;&gt;"",NL("Last","7002 Salgspris","6082688 Vejl. salgspris afrundet","2 Salgskode",$D$3,"13 Salgstype","Kampagne","1 Varenr.",$G129),"")</t>
  </si>
  <si>
    <t>=IFERROR((L129-N129),"")</t>
  </si>
  <si>
    <t>=IF(G130="","Skjul","show")</t>
  </si>
  <si>
    <t>=+C129</t>
  </si>
  <si>
    <t>=IF($D130&lt;&gt;"",NF($D130,"1 Nummer"),"")</t>
  </si>
  <si>
    <t>=IF($D130&lt;&gt;"",NF($D130,"Beskrivelse"),"")&amp;" "&amp;NL(,"Udvidet tekst - linje","Tekst","nummer",$G130)</t>
  </si>
  <si>
    <t>=NL(,"6082571 Informations opsætning","11 Værdi","3 Information kode","MÅLEANTAL","2 Nummer",$G130)&amp;" "&amp;NL(,"6082571 Informations opsætning","14 Beskrivelse","3 Information kode","MÅLEENHED","2 Nummer",$G130)</t>
  </si>
  <si>
    <t>=NL(,"5404 Vareenhed","3 Antal pr. enhed","2 Kode","KOLLI","1 Varenr.",$G130)</t>
  </si>
  <si>
    <t>=IF($G130&lt;&gt;"",NL("Last","7002 Salgspris","5 Salgspris","2 Salgskode",$D$3,"13 Salgstype","Kampagne","1 Varenr.",$G130),"")</t>
  </si>
  <si>
    <t>=IF($G130&lt;&gt;"",NL("Last","7002 Salgspris","6082688 Vejl. salgspris afrundet","2 Salgskode",$D$3,"13 Salgstype","Kampagne","1 Varenr.",$G130),"")</t>
  </si>
  <si>
    <t>=IFERROR((L130-N130),"")</t>
  </si>
  <si>
    <t>=IF(G134="","Skjul","show")</t>
  </si>
  <si>
    <t>=+C133</t>
  </si>
  <si>
    <t>=IF($D134&lt;&gt;"",NF($D134,"1 Nummer"),"")</t>
  </si>
  <si>
    <t>=IF($D134&lt;&gt;"",NF($D134,"Beskrivelse"),"")&amp;" "&amp;NL(,"Udvidet tekst - linje","Tekst","nummer",$G134)</t>
  </si>
  <si>
    <t>=NL(,"6082571 Informations opsætning","11 Værdi","3 Information kode","MÅLEANTAL","2 Nummer",$G134)&amp;" "&amp;NL(,"6082571 Informations opsætning","14 Beskrivelse","3 Information kode","MÅLEENHED","2 Nummer",$G134)</t>
  </si>
  <si>
    <t>=NL(,"5404 Vareenhed","3 Antal pr. enhed","2 Kode","KOLLI","1 Varenr.",$G134)</t>
  </si>
  <si>
    <t>=IF($G134&lt;&gt;"",NL("Last","7002 Salgspris","5 Salgspris","2 Salgskode",$D$3,"13 Salgstype","Kampagne","1 Varenr.",$G134),"")</t>
  </si>
  <si>
    <t>=IF($G134&lt;&gt;"",NL("Last","7002 Salgspris","6082688 Vejl. salgspris afrundet","2 Salgskode",$D$3,"13 Salgstype","Kampagne","1 Varenr.",$G134),"")</t>
  </si>
  <si>
    <t>=IFERROR((L134-N134),"")</t>
  </si>
  <si>
    <t>=IF(G135="","Skjul","show")</t>
  </si>
  <si>
    <t>=+C134</t>
  </si>
  <si>
    <t>=IF($D135&lt;&gt;"",NF($D135,"1 Nummer"),"")</t>
  </si>
  <si>
    <t>=IF($D135&lt;&gt;"",NF($D135,"Beskrivelse"),"")&amp;" "&amp;NL(,"Udvidet tekst - linje","Tekst","nummer",$G135)</t>
  </si>
  <si>
    <t>=NL(,"6082571 Informations opsætning","11 Værdi","3 Information kode","MÅLEANTAL","2 Nummer",$G135)&amp;" "&amp;NL(,"6082571 Informations opsætning","14 Beskrivelse","3 Information kode","MÅLEENHED","2 Nummer",$G135)</t>
  </si>
  <si>
    <t>=NL(,"5404 Vareenhed","3 Antal pr. enhed","2 Kode","KOLLI","1 Varenr.",$G135)</t>
  </si>
  <si>
    <t>=IF($G135&lt;&gt;"",NL("Last","7002 Salgspris","5 Salgspris","2 Salgskode",$D$3,"13 Salgstype","Kampagne","1 Varenr.",$G135),"")</t>
  </si>
  <si>
    <t>=IF($G135&lt;&gt;"",NL("Last","7002 Salgspris","6082688 Vejl. salgspris afrundet","2 Salgskode",$D$3,"13 Salgstype","Kampagne","1 Varenr.",$G135),"")</t>
  </si>
  <si>
    <t>=IFERROR((L135-N135),"")</t>
  </si>
  <si>
    <t>="""NAV"",""Helsam - Drift"",""23"",""1"",""092"""</t>
  </si>
  <si>
    <t>=D4+(1)</t>
  </si>
  <si>
    <t>=NP("Datofilter",E5,E4)</t>
  </si>
  <si>
    <t>=NL("Rækker=4","23 Kreditor",,"+2 Navn","*","1 Nummer",NL("Filter","27 Vare","31 Leverandørnr.","54 Spærret","Falsk","Link=","7002 Salgspris","1 Varenr.","=1 Nummer","2 Salgskode",$D$3,"13 Salgstype","Kampagne"),"Regnskab=","Helsam - Drift","Datakilde=","NAV")</t>
  </si>
  <si>
    <t>=NL("Rækker","Vare",,"31 Leverandørnr.","@@"&amp;$C25,"54 Spærret","Falsk","+3 Beskrivelse","*","Link=","7002 Salgspris","1 Varenr.","=1 Nummer","2 Salgskode",$D$3,"13 Salgstype","Kampagne","Regnskab=","Helsam - Drift","Datakilde=","NAV")</t>
  </si>
  <si>
    <t>=NL(,"7002 Salgspris","5 Salgspris","2 Salgskode","grundpris","13 Salgstype","Debitorprisgruppe","1 Varenr.",$G25,"15 Slutdato",$E$8,"4 Startdato",$E$7)</t>
  </si>
  <si>
    <t>=IF($G25&lt;&gt;"",NL(,"7002 Salgspris","6082688 Vejl. salgspris afrundet","2 Salgskode","grundpris","13 Salgstype","Debitorprisgruppe","1 Varenr.",$G25,"15 Slutdato",$E$8,"4 Startdato",$E$7),"")</t>
  </si>
  <si>
    <t>=NP("Datofilter";E5;E4)</t>
  </si>
  <si>
    <t>=NL("Rækker=4";"23 Kreditor";;"+2 Navn";"*";"1 Nummer";NL("Filter";"27 Vare";"31 Leverandørnr.";"54 Spærret";"Falsk";"Link=";"7002 Salgspris";"1 Varenr.";"=1 Nummer";"2 Salgskode";$D$3;"13 Salgstype";"Kampagne");"Regnskab=";"Helsam - Drift";"Datakilde=";"NAV")</t>
  </si>
  <si>
    <t>=NL("Rækker";"Vare";;"31 Leverandørnr.";"@@"&amp;$C25;"54 Spærret";"Falsk";"+3 Beskrivelse";"*";"Link=";"7002 Salgspris";"1 Varenr.";"=1 Nummer";"2 Salgskode";$D$3;"13 Salgstype";"Kampagne";"Regnskab=";"Helsam - Drift";"Datakilde=";"NAV")</t>
  </si>
  <si>
    <t>=NL(;"7002 Salgspris";"5 Salgspris";"2 Salgskode";"grundpris";"13 Salgstype";"Debitorprisgruppe";"1 Varenr.";$G25;"15 Slutdato";$E$8;"4 Startdato";$E$7)</t>
  </si>
  <si>
    <t>=HVIS($G25&lt;&gt;"";NL(;"7002 Salgspris";"6082688 Vejl. salgspris afrundet";"2 Salgskode";"grundpris";"13 Salgstype";"Debitorprisgruppe";"1 Varenr.";$G25;"15 Slutdato";$E$8;"4 Startdato";$E$7);"")</t>
  </si>
  <si>
    <t>=IF(G56="","Skjul","show")</t>
  </si>
  <si>
    <t>=+C55</t>
  </si>
  <si>
    <t>=IF($D56&lt;&gt;"",NF($D56,"1 Nummer"),"")</t>
  </si>
  <si>
    <t>=IF($D56&lt;&gt;"",NF($D56,"Beskrivelse"),"")&amp;" "&amp;NL(,"Udvidet tekst - linje","Tekst","nummer",$G56)</t>
  </si>
  <si>
    <t>=NL(,"6082571 Informations opsætning","11 Værdi","3 Information kode","MÅLEANTAL","2 Nummer",$G56)&amp;" "&amp;NL(,"6082571 Informations opsætning","14 Beskrivelse","3 Information kode","MÅLEENHED","2 Nummer",$G56)</t>
  </si>
  <si>
    <t>=NL(,"5404 Vareenhed","3 Antal pr. enhed","2 Kode","KOLLI","1 Varenr.",$G56)</t>
  </si>
  <si>
    <t>=NL(,"7002 Salgspris","5 Salgspris","2 Salgskode","grundpris","13 Salgstype","Debitorprisgruppe","1 Varenr.",$G56,"15 Slutdato",$E$8,"4 Startdato",$E$7)</t>
  </si>
  <si>
    <t>=IF($G56&lt;&gt;"",NL(,"7002 Salgspris","6082688 Vejl. salgspris afrundet","2 Salgskode","grundpris","13 Salgstype","Debitorprisgruppe","1 Varenr.",$G56,"15 Slutdato",$E$8,"4 Startdato",$E$7),"")</t>
  </si>
  <si>
    <t>=IF($G56&lt;&gt;"",NL("Last","7002 Salgspris","5 Salgspris","2 Salgskode",$D$3,"13 Salgstype","Kampagne","1 Varenr.",$G56),"")</t>
  </si>
  <si>
    <t>=IF($G56&lt;&gt;"",NL("Last","7002 Salgspris","6082688 Vejl. salgspris afrundet","2 Salgskode",$D$3,"13 Salgstype","Kampagne","1 Varenr.",$G56),"")</t>
  </si>
  <si>
    <t>=IFERROR((L56-N56),"")</t>
  </si>
  <si>
    <t>=NL(,"7002 Salgspris","5 Salgspris","2 Salgskode","grundpris","13 Salgstype","Debitorprisgruppe","1 Varenr.",$G106,"15 Slutdato",$E$8,"4 Startdato",$E$7)</t>
  </si>
  <si>
    <t>=IF($G106&lt;&gt;"",NL(,"7002 Salgspris","6082688 Vejl. salgspris afrundet","2 Salgskode","grundpris","13 Salgstype","Debitorprisgruppe","1 Varenr.",$G106,"15 Slutdato",$E$8,"4 Startdato",$E$7),"")</t>
  </si>
  <si>
    <t>=NL(,"7002 Salgspris","5 Salgspris","2 Salgskode","grundpris","13 Salgstype","Debitorprisgruppe","1 Varenr.",$G107,"15 Slutdato",$E$8,"4 Startdato",$E$7)</t>
  </si>
  <si>
    <t>=IF($G107&lt;&gt;"",NL(,"7002 Salgspris","6082688 Vejl. salgspris afrundet","2 Salgskode","grundpris","13 Salgstype","Debitorprisgruppe","1 Varenr.",$G107,"15 Slutdato",$E$8,"4 Startdato",$E$7),"")</t>
  </si>
  <si>
    <t>=NL(,"7002 Salgspris","5 Salgspris","2 Salgskode","grundpris","13 Salgstype","Debitorprisgruppe","1 Varenr.",$G112,"15 Slutdato",$E$8,"4 Startdato",$E$7)</t>
  </si>
  <si>
    <t>=IF($G112&lt;&gt;"",NL(,"7002 Salgspris","6082688 Vejl. salgspris afrundet","2 Salgskode","grundpris","13 Salgstype","Debitorprisgruppe","1 Varenr.",$G112,"15 Slutdato",$E$8,"4 Startdato",$E$7),"")</t>
  </si>
  <si>
    <t>=NL(,"7002 Salgspris","5 Salgspris","2 Salgskode","grundpris","13 Salgstype","Debitorprisgruppe","1 Varenr.",$G124,"15 Slutdato",$E$8,"4 Startdato",$E$7)</t>
  </si>
  <si>
    <t>=IF($G124&lt;&gt;"",NL(,"7002 Salgspris","6082688 Vejl. salgspris afrundet","2 Salgskode","grundpris","13 Salgstype","Debitorprisgruppe","1 Varenr.",$G124,"15 Slutdato",$E$8,"4 Startdato",$E$7),"")</t>
  </si>
  <si>
    <t>=NL(,"7002 Salgspris","5 Salgspris","2 Salgskode","grundpris","13 Salgstype","Debitorprisgruppe","1 Varenr.",$G128,"15 Slutdato",$E$8,"4 Startdato",$E$7)</t>
  </si>
  <si>
    <t>=IF($G128&lt;&gt;"",NL(,"7002 Salgspris","6082688 Vejl. salgspris afrundet","2 Salgskode","grundpris","13 Salgstype","Debitorprisgruppe","1 Varenr.",$G128,"15 Slutdato",$E$8,"4 Startdato",$E$7),"")</t>
  </si>
  <si>
    <t>=NL(,"7002 Salgspris","5 Salgspris","2 Salgskode","grundpris","13 Salgstype","Debitorprisgruppe","1 Varenr.",$G129,"15 Slutdato",$E$8,"4 Startdato",$E$7)</t>
  </si>
  <si>
    <t>=IF($G129&lt;&gt;"",NL(,"7002 Salgspris","6082688 Vejl. salgspris afrundet","2 Salgskode","grundpris","13 Salgstype","Debitorprisgruppe","1 Varenr.",$G129,"15 Slutdato",$E$8,"4 Startdato",$E$7),"")</t>
  </si>
  <si>
    <t>=NL(,"7002 Salgspris","5 Salgspris","2 Salgskode","grundpris","13 Salgstype","Debitorprisgruppe","1 Varenr.",$G130,"15 Slutdato",$E$8,"4 Startdato",$E$7)</t>
  </si>
  <si>
    <t>=IF($G130&lt;&gt;"",NL(,"7002 Salgspris","6082688 Vejl. salgspris afrundet","2 Salgskode","grundpris","13 Salgstype","Debitorprisgruppe","1 Varenr.",$G130,"15 Slutdato",$E$8,"4 Startdato",$E$7),"")</t>
  </si>
  <si>
    <t>=NL(,"7002 Salgspris","5 Salgspris","2 Salgskode","grundpris","13 Salgstype","Debitorprisgruppe","1 Varenr.",$G134,"15 Slutdato",$E$8,"4 Startdato",$E$7)</t>
  </si>
  <si>
    <t>=IF($G134&lt;&gt;"",NL(,"7002 Salgspris","6082688 Vejl. salgspris afrundet","2 Salgskode","grundpris","13 Salgstype","Debitorprisgruppe","1 Varenr.",$G134,"15 Slutdato",$E$8,"4 Startdato",$E$7),"")</t>
  </si>
  <si>
    <t>=NL(,"7002 Salgspris","5 Salgspris","2 Salgskode","grundpris","13 Salgstype","Debitorprisgruppe","1 Varenr.",$G135,"15 Slutdato",$E$8,"4 Startdato",$E$7)</t>
  </si>
  <si>
    <t>=IF($G135&lt;&gt;"",NL(,"7002 Salgspris","6082688 Vejl. salgspris afrundet","2 Salgskode","grundpris","13 Salgstype","Debitorprisgruppe","1 Varenr.",$G135,"15 Slutdato",$E$8,"4 Startdato",$E$7),"")</t>
  </si>
  <si>
    <t>skjul</t>
  </si>
  <si>
    <t>startdato (indkøbs/vejl. Pris)</t>
  </si>
  <si>
    <t>slutdato (indkøbs/vejl. Pris)</t>
  </si>
  <si>
    <t>=IF(G108="","Skjul","show")</t>
  </si>
  <si>
    <t>=+C107</t>
  </si>
  <si>
    <t>=IF($D108&lt;&gt;"",NF($D108,"1 Nummer"),"")</t>
  </si>
  <si>
    <t>=IF($D108&lt;&gt;"",NF($D108,"Beskrivelse"),"")&amp;" "&amp;NL(,"Udvidet tekst - linje","Tekst","nummer",$G108)</t>
  </si>
  <si>
    <t>=NL(,"6082571 Informations opsætning","11 Værdi","3 Information kode","MÅLEANTAL","2 Nummer",$G108)&amp;" "&amp;NL(,"6082571 Informations opsætning","14 Beskrivelse","3 Information kode","MÅLEENHED","2 Nummer",$G108)</t>
  </si>
  <si>
    <t>=NL(,"5404 Vareenhed","3 Antal pr. enhed","2 Kode","KOLLI","1 Varenr.",$G108)</t>
  </si>
  <si>
    <t>=NL(,"7002 Salgspris","5 Salgspris","2 Salgskode","grundpris","13 Salgstype","Debitorprisgruppe","1 Varenr.",$G108,"15 Slutdato",$E$8,"4 Startdato",$E$7)</t>
  </si>
  <si>
    <t>=IF($G108&lt;&gt;"",NL(,"7002 Salgspris","6082688 Vejl. salgspris afrundet","2 Salgskode","grundpris","13 Salgstype","Debitorprisgruppe","1 Varenr.",$G108,"15 Slutdato",$E$8,"4 Startdato",$E$7),"")</t>
  </si>
  <si>
    <t>=IF($G108&lt;&gt;"",NL("Last","7002 Salgspris","5 Salgspris","2 Salgskode",$D$3,"13 Salgstype","Kampagne","1 Varenr.",$G108),"")</t>
  </si>
  <si>
    <t>=IF($G108&lt;&gt;"",NL("Last","7002 Salgspris","6082688 Vejl. salgspris afrundet","2 Salgskode",$D$3,"13 Salgstype","Kampagne","1 Varenr.",$G108),"")</t>
  </si>
  <si>
    <t>=IFERROR((L108-N108),"")</t>
  </si>
  <si>
    <t>Auto+Skjul+Værdier+Formulas=Ark3,Ark4+FormulasOnly</t>
  </si>
  <si>
    <t>=IF(G32="","Skjul","show")</t>
  </si>
  <si>
    <t>=+C31</t>
  </si>
  <si>
    <t>=IF($D32&lt;&gt;"",NF($D32,"1 Nummer"),"")</t>
  </si>
  <si>
    <t>=IF($D32&lt;&gt;"",NF($D32,"Beskrivelse"),"")&amp;" "&amp;NL(,"Udvidet tekst - linje","Tekst","nummer",$G32)</t>
  </si>
  <si>
    <t>=NL(,"6082571 Informations opsætning","11 Værdi","3 Information kode","MÅLEANTAL","2 Nummer",$G32)&amp;" "&amp;NL(,"6082571 Informations opsætning","14 Beskrivelse","3 Information kode","MÅLEENHED","2 Nummer",$G32)</t>
  </si>
  <si>
    <t>=NL(,"5404 Vareenhed","3 Antal pr. enhed","2 Kode","KOLLI","1 Varenr.",$G32)</t>
  </si>
  <si>
    <t>=NL(,"7002 Salgspris","5 Salgspris","2 Salgskode","grundpris","13 Salgstype","Debitorprisgruppe","1 Varenr.",$G32,"15 Slutdato",$E$8,"4 Startdato",$E$7)</t>
  </si>
  <si>
    <t>=IF($G32&lt;&gt;"",NL(,"7002 Salgspris","6082688 Vejl. salgspris afrundet","2 Salgskode","grundpris","13 Salgstype","Debitorprisgruppe","1 Varenr.",$G32,"15 Slutdato",$E$8,"4 Startdato",$E$7),"")</t>
  </si>
  <si>
    <t>=IF($G32&lt;&gt;"",NL("Last","7002 Salgspris","5 Salgspris","2 Salgskode",$D$3,"13 Salgstype","Kampagne","1 Varenr.",$G32),"")</t>
  </si>
  <si>
    <t>=IF($G32&lt;&gt;"",NL("Last","7002 Salgspris","6082688 Vejl. salgspris afrundet","2 Salgskode",$D$3,"13 Salgstype","Kampagne","1 Varenr.",$G32),"")</t>
  </si>
  <si>
    <t>=IFERROR((L32-N32),"")</t>
  </si>
  <si>
    <t>=IF(G40="","Skjul","show")</t>
  </si>
  <si>
    <t>=+C39</t>
  </si>
  <si>
    <t>=IF($D40&lt;&gt;"",NF($D40,"1 Nummer"),"")</t>
  </si>
  <si>
    <t>=IF($D40&lt;&gt;"",NF($D40,"Beskrivelse"),"")&amp;" "&amp;NL(,"Udvidet tekst - linje","Tekst","nummer",$G40)</t>
  </si>
  <si>
    <t>=NL(,"6082571 Informations opsætning","11 Værdi","3 Information kode","MÅLEANTAL","2 Nummer",$G40)&amp;" "&amp;NL(,"6082571 Informations opsætning","14 Beskrivelse","3 Information kode","MÅLEENHED","2 Nummer",$G40)</t>
  </si>
  <si>
    <t>=NL(,"5404 Vareenhed","3 Antal pr. enhed","2 Kode","KOLLI","1 Varenr.",$G40)</t>
  </si>
  <si>
    <t>=NL(,"7002 Salgspris","5 Salgspris","2 Salgskode","grundpris","13 Salgstype","Debitorprisgruppe","1 Varenr.",$G40,"15 Slutdato",$E$8,"4 Startdato",$E$7)</t>
  </si>
  <si>
    <t>=IF($G40&lt;&gt;"",NL(,"7002 Salgspris","6082688 Vejl. salgspris afrundet","2 Salgskode","grundpris","13 Salgstype","Debitorprisgruppe","1 Varenr.",$G40,"15 Slutdato",$E$8,"4 Startdato",$E$7),"")</t>
  </si>
  <si>
    <t>=IF($G40&lt;&gt;"",NL("Last","7002 Salgspris","5 Salgspris","2 Salgskode",$D$3,"13 Salgstype","Kampagne","1 Varenr.",$G40),"")</t>
  </si>
  <si>
    <t>=IF($G40&lt;&gt;"",NL("Last","7002 Salgspris","6082688 Vejl. salgspris afrundet","2 Salgskode",$D$3,"13 Salgstype","Kampagne","1 Varenr.",$G40),"")</t>
  </si>
  <si>
    <t>=IFERROR((L40-N40),"")</t>
  </si>
  <si>
    <t>=IF(G41="","Skjul","show")</t>
  </si>
  <si>
    <t>=+C40</t>
  </si>
  <si>
    <t>=IF($D41&lt;&gt;"",NF($D41,"1 Nummer"),"")</t>
  </si>
  <si>
    <t>=IF($D41&lt;&gt;"",NF($D41,"Beskrivelse"),"")&amp;" "&amp;NL(,"Udvidet tekst - linje","Tekst","nummer",$G41)</t>
  </si>
  <si>
    <t>=NL(,"6082571 Informations opsætning","11 Værdi","3 Information kode","MÅLEANTAL","2 Nummer",$G41)&amp;" "&amp;NL(,"6082571 Informations opsætning","14 Beskrivelse","3 Information kode","MÅLEENHED","2 Nummer",$G41)</t>
  </si>
  <si>
    <t>=NL(,"5404 Vareenhed","3 Antal pr. enhed","2 Kode","KOLLI","1 Varenr.",$G41)</t>
  </si>
  <si>
    <t>=NL(,"7002 Salgspris","5 Salgspris","2 Salgskode","grundpris","13 Salgstype","Debitorprisgruppe","1 Varenr.",$G41,"15 Slutdato",$E$8,"4 Startdato",$E$7)</t>
  </si>
  <si>
    <t>=IF($G41&lt;&gt;"",NL(,"7002 Salgspris","6082688 Vejl. salgspris afrundet","2 Salgskode","grundpris","13 Salgstype","Debitorprisgruppe","1 Varenr.",$G41,"15 Slutdato",$E$8,"4 Startdato",$E$7),"")</t>
  </si>
  <si>
    <t>=IF($G41&lt;&gt;"",NL("Last","7002 Salgspris","5 Salgspris","2 Salgskode",$D$3,"13 Salgstype","Kampagne","1 Varenr.",$G41),"")</t>
  </si>
  <si>
    <t>=IF($G41&lt;&gt;"",NL("Last","7002 Salgspris","6082688 Vejl. salgspris afrundet","2 Salgskode",$D$3,"13 Salgstype","Kampagne","1 Varenr.",$G41),"")</t>
  </si>
  <si>
    <t>=IFERROR((L41-N41),"")</t>
  </si>
  <si>
    <t>=IF(G42="","Skjul","show")</t>
  </si>
  <si>
    <t>=+C41</t>
  </si>
  <si>
    <t>=IF($D42&lt;&gt;"",NF($D42,"1 Nummer"),"")</t>
  </si>
  <si>
    <t>=IF($D42&lt;&gt;"",NF($D42,"Beskrivelse"),"")&amp;" "&amp;NL(,"Udvidet tekst - linje","Tekst","nummer",$G42)</t>
  </si>
  <si>
    <t>=NL(,"6082571 Informations opsætning","11 Værdi","3 Information kode","MÅLEANTAL","2 Nummer",$G42)&amp;" "&amp;NL(,"6082571 Informations opsætning","14 Beskrivelse","3 Information kode","MÅLEENHED","2 Nummer",$G42)</t>
  </si>
  <si>
    <t>=NL(,"5404 Vareenhed","3 Antal pr. enhed","2 Kode","KOLLI","1 Varenr.",$G42)</t>
  </si>
  <si>
    <t>=NL(,"7002 Salgspris","5 Salgspris","2 Salgskode","grundpris","13 Salgstype","Debitorprisgruppe","1 Varenr.",$G42,"15 Slutdato",$E$8,"4 Startdato",$E$7)</t>
  </si>
  <si>
    <t>=IF($G42&lt;&gt;"",NL(,"7002 Salgspris","6082688 Vejl. salgspris afrundet","2 Salgskode","grundpris","13 Salgstype","Debitorprisgruppe","1 Varenr.",$G42,"15 Slutdato",$E$8,"4 Startdato",$E$7),"")</t>
  </si>
  <si>
    <t>=IF($G42&lt;&gt;"",NL("Last","7002 Salgspris","5 Salgspris","2 Salgskode",$D$3,"13 Salgstype","Kampagne","1 Varenr.",$G42),"")</t>
  </si>
  <si>
    <t>=IF($G42&lt;&gt;"",NL("Last","7002 Salgspris","6082688 Vejl. salgspris afrundet","2 Salgskode",$D$3,"13 Salgstype","Kampagne","1 Varenr.",$G42),"")</t>
  </si>
  <si>
    <t>=IFERROR((L42-N42),"")</t>
  </si>
  <si>
    <t>=IF(G55="","Skjul","show")</t>
  </si>
  <si>
    <t>=+C54</t>
  </si>
  <si>
    <t>=IF($D55&lt;&gt;"",NF($D55,"1 Nummer"),"")</t>
  </si>
  <si>
    <t>=IF($D55&lt;&gt;"",NF($D55,"Beskrivelse"),"")&amp;" "&amp;NL(,"Udvidet tekst - linje","Tekst","nummer",$G55)</t>
  </si>
  <si>
    <t>=NL(,"6082571 Informations opsætning","11 Værdi","3 Information kode","MÅLEANTAL","2 Nummer",$G55)&amp;" "&amp;NL(,"6082571 Informations opsætning","14 Beskrivelse","3 Information kode","MÅLEENHED","2 Nummer",$G55)</t>
  </si>
  <si>
    <t>=NL(,"5404 Vareenhed","3 Antal pr. enhed","2 Kode","KOLLI","1 Varenr.",$G55)</t>
  </si>
  <si>
    <t>=NL(,"7002 Salgspris","5 Salgspris","2 Salgskode","grundpris","13 Salgstype","Debitorprisgruppe","1 Varenr.",$G55,"15 Slutdato",$E$8,"4 Startdato",$E$7)</t>
  </si>
  <si>
    <t>=IF($G55&lt;&gt;"",NL(,"7002 Salgspris","6082688 Vejl. salgspris afrundet","2 Salgskode","grundpris","13 Salgstype","Debitorprisgruppe","1 Varenr.",$G55,"15 Slutdato",$E$8,"4 Startdato",$E$7),"")</t>
  </si>
  <si>
    <t>=IF($G55&lt;&gt;"",NL("Last","7002 Salgspris","5 Salgspris","2 Salgskode",$D$3,"13 Salgstype","Kampagne","1 Varenr.",$G55),"")</t>
  </si>
  <si>
    <t>=IF($G55&lt;&gt;"",NL("Last","7002 Salgspris","6082688 Vejl. salgspris afrundet","2 Salgskode",$D$3,"13 Salgstype","Kampagne","1 Varenr.",$G55),"")</t>
  </si>
  <si>
    <t>=IFERROR((L55-N55),"")</t>
  </si>
  <si>
    <t>=IF(G57="","Skjul","show")</t>
  </si>
  <si>
    <t>=+C56</t>
  </si>
  <si>
    <t>=IF($D57&lt;&gt;"",NF($D57,"1 Nummer"),"")</t>
  </si>
  <si>
    <t>=IF($D57&lt;&gt;"",NF($D57,"Beskrivelse"),"")&amp;" "&amp;NL(,"Udvidet tekst - linje","Tekst","nummer",$G57)</t>
  </si>
  <si>
    <t>=NL(,"6082571 Informations opsætning","11 Værdi","3 Information kode","MÅLEANTAL","2 Nummer",$G57)&amp;" "&amp;NL(,"6082571 Informations opsætning","14 Beskrivelse","3 Information kode","MÅLEENHED","2 Nummer",$G57)</t>
  </si>
  <si>
    <t>=NL(,"5404 Vareenhed","3 Antal pr. enhed","2 Kode","KOLLI","1 Varenr.",$G57)</t>
  </si>
  <si>
    <t>=NL(,"7002 Salgspris","5 Salgspris","2 Salgskode","grundpris","13 Salgstype","Debitorprisgruppe","1 Varenr.",$G57,"15 Slutdato",$E$8,"4 Startdato",$E$7)</t>
  </si>
  <si>
    <t>=IF($G57&lt;&gt;"",NL(,"7002 Salgspris","6082688 Vejl. salgspris afrundet","2 Salgskode","grundpris","13 Salgstype","Debitorprisgruppe","1 Varenr.",$G57,"15 Slutdato",$E$8,"4 Startdato",$E$7),"")</t>
  </si>
  <si>
    <t>=IF($G57&lt;&gt;"",NL("Last","7002 Salgspris","5 Salgspris","2 Salgskode",$D$3,"13 Salgstype","Kampagne","1 Varenr.",$G57),"")</t>
  </si>
  <si>
    <t>=IF($G57&lt;&gt;"",NL("Last","7002 Salgspris","6082688 Vejl. salgspris afrundet","2 Salgskode",$D$3,"13 Salgstype","Kampagne","1 Varenr.",$G57),"")</t>
  </si>
  <si>
    <t>=IFERROR((L57-N57),"")</t>
  </si>
  <si>
    <t>=IF(G58="","Skjul","show")</t>
  </si>
  <si>
    <t>=+C57</t>
  </si>
  <si>
    <t>=IF($D58&lt;&gt;"",NF($D58,"1 Nummer"),"")</t>
  </si>
  <si>
    <t>=IF($D58&lt;&gt;"",NF($D58,"Beskrivelse"),"")&amp;" "&amp;NL(,"Udvidet tekst - linje","Tekst","nummer",$G58)</t>
  </si>
  <si>
    <t>=NL(,"6082571 Informations opsætning","11 Værdi","3 Information kode","MÅLEANTAL","2 Nummer",$G58)&amp;" "&amp;NL(,"6082571 Informations opsætning","14 Beskrivelse","3 Information kode","MÅLEENHED","2 Nummer",$G58)</t>
  </si>
  <si>
    <t>=NL(,"5404 Vareenhed","3 Antal pr. enhed","2 Kode","KOLLI","1 Varenr.",$G58)</t>
  </si>
  <si>
    <t>=NL(,"7002 Salgspris","5 Salgspris","2 Salgskode","grundpris","13 Salgstype","Debitorprisgruppe","1 Varenr.",$G58,"15 Slutdato",$E$8,"4 Startdato",$E$7)</t>
  </si>
  <si>
    <t>=IF($G58&lt;&gt;"",NL(,"7002 Salgspris","6082688 Vejl. salgspris afrundet","2 Salgskode","grundpris","13 Salgstype","Debitorprisgruppe","1 Varenr.",$G58,"15 Slutdato",$E$8,"4 Startdato",$E$7),"")</t>
  </si>
  <si>
    <t>=IF($G58&lt;&gt;"",NL("Last","7002 Salgspris","5 Salgspris","2 Salgskode",$D$3,"13 Salgstype","Kampagne","1 Varenr.",$G58),"")</t>
  </si>
  <si>
    <t>=IF($G58&lt;&gt;"",NL("Last","7002 Salgspris","6082688 Vejl. salgspris afrundet","2 Salgskode",$D$3,"13 Salgstype","Kampagne","1 Varenr.",$G58),"")</t>
  </si>
  <si>
    <t>=IFERROR((L58-N58),"")</t>
  </si>
  <si>
    <t>=IF(G91="","Skjul","show")</t>
  </si>
  <si>
    <t>=+C90</t>
  </si>
  <si>
    <t>=IF($D91&lt;&gt;"",NF($D91,"1 Nummer"),"")</t>
  </si>
  <si>
    <t>=IF($D91&lt;&gt;"",NF($D91,"Beskrivelse"),"")&amp;" "&amp;NL(,"Udvidet tekst - linje","Tekst","nummer",$G91)</t>
  </si>
  <si>
    <t>=NL(,"6082571 Informations opsætning","11 Værdi","3 Information kode","MÅLEANTAL","2 Nummer",$G91)&amp;" "&amp;NL(,"6082571 Informations opsætning","14 Beskrivelse","3 Information kode","MÅLEENHED","2 Nummer",$G91)</t>
  </si>
  <si>
    <t>=NL(,"5404 Vareenhed","3 Antal pr. enhed","2 Kode","KOLLI","1 Varenr.",$G91)</t>
  </si>
  <si>
    <t>=NL(,"7002 Salgspris","5 Salgspris","2 Salgskode","grundpris","13 Salgstype","Debitorprisgruppe","1 Varenr.",$G91,"15 Slutdato",$E$8,"4 Startdato",$E$7)</t>
  </si>
  <si>
    <t>=IF($G91&lt;&gt;"",NL(,"7002 Salgspris","6082688 Vejl. salgspris afrundet","2 Salgskode","grundpris","13 Salgstype","Debitorprisgruppe","1 Varenr.",$G91,"15 Slutdato",$E$8,"4 Startdato",$E$7),"")</t>
  </si>
  <si>
    <t>=IF($G91&lt;&gt;"",NL("Last","7002 Salgspris","5 Salgspris","2 Salgskode",$D$3,"13 Salgstype","Kampagne","1 Varenr.",$G91),"")</t>
  </si>
  <si>
    <t>=IF($G91&lt;&gt;"",NL("Last","7002 Salgspris","6082688 Vejl. salgspris afrundet","2 Salgskode",$D$3,"13 Salgstype","Kampagne","1 Varenr.",$G91),"")</t>
  </si>
  <si>
    <t>=IFERROR((L91-N91),"")</t>
  </si>
  <si>
    <t>=IF(G121="","Skjul","show")</t>
  </si>
  <si>
    <t>=+C120</t>
  </si>
  <si>
    <t>=IF($D121&lt;&gt;"",NF($D121,"1 Nummer"),"")</t>
  </si>
  <si>
    <t>=IF($D121&lt;&gt;"",NF($D121,"Beskrivelse"),"")&amp;" "&amp;NL(,"Udvidet tekst - linje","Tekst","nummer",$G121)</t>
  </si>
  <si>
    <t>=NL(,"6082571 Informations opsætning","11 Værdi","3 Information kode","MÅLEANTAL","2 Nummer",$G121)&amp;" "&amp;NL(,"6082571 Informations opsætning","14 Beskrivelse","3 Information kode","MÅLEENHED","2 Nummer",$G121)</t>
  </si>
  <si>
    <t>=NL(,"5404 Vareenhed","3 Antal pr. enhed","2 Kode","KOLLI","1 Varenr.",$G121)</t>
  </si>
  <si>
    <t>=NL(,"7002 Salgspris","5 Salgspris","2 Salgskode","grundpris","13 Salgstype","Debitorprisgruppe","1 Varenr.",$G121,"15 Slutdato",$E$8,"4 Startdato",$E$7)</t>
  </si>
  <si>
    <t>=IF($G121&lt;&gt;"",NL(,"7002 Salgspris","6082688 Vejl. salgspris afrundet","2 Salgskode","grundpris","13 Salgstype","Debitorprisgruppe","1 Varenr.",$G121,"15 Slutdato",$E$8,"4 Startdato",$E$7),"")</t>
  </si>
  <si>
    <t>=IF($G121&lt;&gt;"",NL("Last","7002 Salgspris","5 Salgspris","2 Salgskode",$D$3,"13 Salgstype","Kampagne","1 Varenr.",$G121),"")</t>
  </si>
  <si>
    <t>=IF($G121&lt;&gt;"",NL("Last","7002 Salgspris","6082688 Vejl. salgspris afrundet","2 Salgskode",$D$3,"13 Salgstype","Kampagne","1 Varenr.",$G121),"")</t>
  </si>
  <si>
    <t>=IFERROR((L121-N121),"")</t>
  </si>
  <si>
    <t>=IF(G122="","Skjul","show")</t>
  </si>
  <si>
    <t>=+C121</t>
  </si>
  <si>
    <t>=IF($D122&lt;&gt;"",NF($D122,"1 Nummer"),"")</t>
  </si>
  <si>
    <t>=IF($D122&lt;&gt;"",NF($D122,"Beskrivelse"),"")&amp;" "&amp;NL(,"Udvidet tekst - linje","Tekst","nummer",$G122)</t>
  </si>
  <si>
    <t>=NL(,"6082571 Informations opsætning","11 Værdi","3 Information kode","MÅLEANTAL","2 Nummer",$G122)&amp;" "&amp;NL(,"6082571 Informations opsætning","14 Beskrivelse","3 Information kode","MÅLEENHED","2 Nummer",$G122)</t>
  </si>
  <si>
    <t>=NL(,"5404 Vareenhed","3 Antal pr. enhed","2 Kode","KOLLI","1 Varenr.",$G122)</t>
  </si>
  <si>
    <t>=NL(,"7002 Salgspris","5 Salgspris","2 Salgskode","grundpris","13 Salgstype","Debitorprisgruppe","1 Varenr.",$G122,"15 Slutdato",$E$8,"4 Startdato",$E$7)</t>
  </si>
  <si>
    <t>=IF($G122&lt;&gt;"",NL(,"7002 Salgspris","6082688 Vejl. salgspris afrundet","2 Salgskode","grundpris","13 Salgstype","Debitorprisgruppe","1 Varenr.",$G122,"15 Slutdato",$E$8,"4 Startdato",$E$7),"")</t>
  </si>
  <si>
    <t>=IF($G122&lt;&gt;"",NL("Last","7002 Salgspris","5 Salgspris","2 Salgskode",$D$3,"13 Salgstype","Kampagne","1 Varenr.",$G122),"")</t>
  </si>
  <si>
    <t>=IF($G122&lt;&gt;"",NL("Last","7002 Salgspris","6082688 Vejl. salgspris afrundet","2 Salgskode",$D$3,"13 Salgstype","Kampagne","1 Varenr.",$G122),"")</t>
  </si>
  <si>
    <t>=IFERROR((L122-N122),"")</t>
  </si>
  <si>
    <t>=IF(G123="","Skjul","show")</t>
  </si>
  <si>
    <t>=+C122</t>
  </si>
  <si>
    <t>=IF($D123&lt;&gt;"",NF($D123,"1 Nummer"),"")</t>
  </si>
  <si>
    <t>=IF($D123&lt;&gt;"",NF($D123,"Beskrivelse"),"")&amp;" "&amp;NL(,"Udvidet tekst - linje","Tekst","nummer",$G123)</t>
  </si>
  <si>
    <t>=NL(,"6082571 Informations opsætning","11 Værdi","3 Information kode","MÅLEANTAL","2 Nummer",$G123)&amp;" "&amp;NL(,"6082571 Informations opsætning","14 Beskrivelse","3 Information kode","MÅLEENHED","2 Nummer",$G123)</t>
  </si>
  <si>
    <t>=NL(,"5404 Vareenhed","3 Antal pr. enhed","2 Kode","KOLLI","1 Varenr.",$G123)</t>
  </si>
  <si>
    <t>=NL(,"7002 Salgspris","5 Salgspris","2 Salgskode","grundpris","13 Salgstype","Debitorprisgruppe","1 Varenr.",$G123,"15 Slutdato",$E$8,"4 Startdato",$E$7)</t>
  </si>
  <si>
    <t>=IF($G123&lt;&gt;"",NL(,"7002 Salgspris","6082688 Vejl. salgspris afrundet","2 Salgskode","grundpris","13 Salgstype","Debitorprisgruppe","1 Varenr.",$G123,"15 Slutdato",$E$8,"4 Startdato",$E$7),"")</t>
  </si>
  <si>
    <t>=IF($G123&lt;&gt;"",NL("Last","7002 Salgspris","5 Salgspris","2 Salgskode",$D$3,"13 Salgstype","Kampagne","1 Varenr.",$G123),"")</t>
  </si>
  <si>
    <t>=IF($G123&lt;&gt;"",NL("Last","7002 Salgspris","6082688 Vejl. salgspris afrundet","2 Salgskode",$D$3,"13 Salgstype","Kampagne","1 Varenr.",$G123),"")</t>
  </si>
  <si>
    <t>=IFERROR((L123-N123),"")</t>
  </si>
  <si>
    <t>=IF(G136="","Skjul","show")</t>
  </si>
  <si>
    <t>=+C135</t>
  </si>
  <si>
    <t>=IF($D136&lt;&gt;"",NF($D136,"1 Nummer"),"")</t>
  </si>
  <si>
    <t>=IF($D136&lt;&gt;"",NF($D136,"Beskrivelse"),"")&amp;" "&amp;NL(,"Udvidet tekst - linje","Tekst","nummer",$G136)</t>
  </si>
  <si>
    <t>=NL(,"6082571 Informations opsætning","11 Værdi","3 Information kode","MÅLEANTAL","2 Nummer",$G136)&amp;" "&amp;NL(,"6082571 Informations opsætning","14 Beskrivelse","3 Information kode","MÅLEENHED","2 Nummer",$G136)</t>
  </si>
  <si>
    <t>=NL(,"5404 Vareenhed","3 Antal pr. enhed","2 Kode","KOLLI","1 Varenr.",$G136)</t>
  </si>
  <si>
    <t>=NL(,"7002 Salgspris","5 Salgspris","2 Salgskode","grundpris","13 Salgstype","Debitorprisgruppe","1 Varenr.",$G136,"15 Slutdato",$E$8,"4 Startdato",$E$7)</t>
  </si>
  <si>
    <t>=IF($G136&lt;&gt;"",NL(,"7002 Salgspris","6082688 Vejl. salgspris afrundet","2 Salgskode","grundpris","13 Salgstype","Debitorprisgruppe","1 Varenr.",$G136,"15 Slutdato",$E$8,"4 Startdato",$E$7),"")</t>
  </si>
  <si>
    <t>=IF($G136&lt;&gt;"",NL("Last","7002 Salgspris","5 Salgspris","2 Salgskode",$D$3,"13 Salgstype","Kampagne","1 Varenr.",$G136),"")</t>
  </si>
  <si>
    <t>=IF($G136&lt;&gt;"",NL("Last","7002 Salgspris","6082688 Vejl. salgspris afrundet","2 Salgskode",$D$3,"13 Salgstype","Kampagne","1 Varenr.",$G136),"")</t>
  </si>
  <si>
    <t>=IFERROR((L136-N136),"")</t>
  </si>
  <si>
    <t>=IF(G137="","Skjul","show")</t>
  </si>
  <si>
    <t>=+C136</t>
  </si>
  <si>
    <t>=IF($D137&lt;&gt;"",NF($D137,"1 Nummer"),"")</t>
  </si>
  <si>
    <t>=IF($D137&lt;&gt;"",NF($D137,"Beskrivelse"),"")&amp;" "&amp;NL(,"Udvidet tekst - linje","Tekst","nummer",$G137)</t>
  </si>
  <si>
    <t>=NL(,"6082571 Informations opsætning","11 Værdi","3 Information kode","MÅLEANTAL","2 Nummer",$G137)&amp;" "&amp;NL(,"6082571 Informations opsætning","14 Beskrivelse","3 Information kode","MÅLEENHED","2 Nummer",$G137)</t>
  </si>
  <si>
    <t>=NL(,"5404 Vareenhed","3 Antal pr. enhed","2 Kode","KOLLI","1 Varenr.",$G137)</t>
  </si>
  <si>
    <t>=NL(,"7002 Salgspris","5 Salgspris","2 Salgskode","grundpris","13 Salgstype","Debitorprisgruppe","1 Varenr.",$G137,"15 Slutdato",$E$8,"4 Startdato",$E$7)</t>
  </si>
  <si>
    <t>=IF($G137&lt;&gt;"",NL(,"7002 Salgspris","6082688 Vejl. salgspris afrundet","2 Salgskode","grundpris","13 Salgstype","Debitorprisgruppe","1 Varenr.",$G137,"15 Slutdato",$E$8,"4 Startdato",$E$7),"")</t>
  </si>
  <si>
    <t>=IF($G137&lt;&gt;"",NL("Last","7002 Salgspris","5 Salgspris","2 Salgskode",$D$3,"13 Salgstype","Kampagne","1 Varenr.",$G137),"")</t>
  </si>
  <si>
    <t>=IF($G137&lt;&gt;"",NL("Last","7002 Salgspris","6082688 Vejl. salgspris afrundet","2 Salgskode",$D$3,"13 Salgstype","Kampagne","1 Varenr.",$G137),"")</t>
  </si>
  <si>
    <t>=IFERROR((L137-N137),"")</t>
  </si>
  <si>
    <t>=IF(G152="","Skjul","show")</t>
  </si>
  <si>
    <t>=+C151</t>
  </si>
  <si>
    <t>=IF($D152&lt;&gt;"",NF($D152,"1 Nummer"),"")</t>
  </si>
  <si>
    <t>=IF($D152&lt;&gt;"",NF($D152,"Beskrivelse"),"")&amp;" "&amp;NL(,"Udvidet tekst - linje","Tekst","nummer",$G152)</t>
  </si>
  <si>
    <t>=NL(,"6082571 Informations opsætning","11 Værdi","3 Information kode","MÅLEANTAL","2 Nummer",$G152)&amp;" "&amp;NL(,"6082571 Informations opsætning","14 Beskrivelse","3 Information kode","MÅLEENHED","2 Nummer",$G152)</t>
  </si>
  <si>
    <t>=NL(,"5404 Vareenhed","3 Antal pr. enhed","2 Kode","KOLLI","1 Varenr.",$G152)</t>
  </si>
  <si>
    <t>=NL(,"7002 Salgspris","5 Salgspris","2 Salgskode","grundpris","13 Salgstype","Debitorprisgruppe","1 Varenr.",$G152,"15 Slutdato",$E$8,"4 Startdato",$E$7)</t>
  </si>
  <si>
    <t>=IF($G152&lt;&gt;"",NL(,"7002 Salgspris","6082688 Vejl. salgspris afrundet","2 Salgskode","grundpris","13 Salgstype","Debitorprisgruppe","1 Varenr.",$G152,"15 Slutdato",$E$8,"4 Startdato",$E$7),"")</t>
  </si>
  <si>
    <t>=IF($G152&lt;&gt;"",NL("Last","7002 Salgspris","5 Salgspris","2 Salgskode",$D$3,"13 Salgstype","Kampagne","1 Varenr.",$G152),"")</t>
  </si>
  <si>
    <t>=IF($G152&lt;&gt;"",NL("Last","7002 Salgspris","6082688 Vejl. salgspris afrundet","2 Salgskode",$D$3,"13 Salgstype","Kampagne","1 Varenr.",$G152),"")</t>
  </si>
  <si>
    <t>=IFERROR((L152-N152),"")</t>
  </si>
  <si>
    <t>=IF(G33="","Skjul","show")</t>
  </si>
  <si>
    <t>=+C32</t>
  </si>
  <si>
    <t>=IF($D33&lt;&gt;"",NF($D33,"1 Nummer"),"")</t>
  </si>
  <si>
    <t>=IF($D33&lt;&gt;"",NF($D33,"Beskrivelse"),"")&amp;" "&amp;NL(,"Udvidet tekst - linje","Tekst","nummer",$G33)</t>
  </si>
  <si>
    <t>=NL(,"6082571 Informations opsætning","11 Værdi","3 Information kode","MÅLEANTAL","2 Nummer",$G33)&amp;" "&amp;NL(,"6082571 Informations opsætning","14 Beskrivelse","3 Information kode","MÅLEENHED","2 Nummer",$G33)</t>
  </si>
  <si>
    <t>=NL(,"5404 Vareenhed","3 Antal pr. enhed","2 Kode","KOLLI","1 Varenr.",$G33)</t>
  </si>
  <si>
    <t>=NL(,"7002 Salgspris","5 Salgspris","2 Salgskode","grundpris","13 Salgstype","Debitorprisgruppe","1 Varenr.",$G33,"15 Slutdato",$E$8,"4 Startdato",$E$7)</t>
  </si>
  <si>
    <t>=IF($G33&lt;&gt;"",NL(,"7002 Salgspris","6082688 Vejl. salgspris afrundet","2 Salgskode","grundpris","13 Salgstype","Debitorprisgruppe","1 Varenr.",$G33,"15 Slutdato",$E$8,"4 Startdato",$E$7),"")</t>
  </si>
  <si>
    <t>=IF($G33&lt;&gt;"",NL("Last","7002 Salgspris","5 Salgspris","2 Salgskode",$D$3,"13 Salgstype","Kampagne","1 Varenr.",$G33),"")</t>
  </si>
  <si>
    <t>=IF($G33&lt;&gt;"",NL("Last","7002 Salgspris","6082688 Vejl. salgspris afrundet","2 Salgskode",$D$3,"13 Salgstype","Kampagne","1 Varenr.",$G33),"")</t>
  </si>
  <si>
    <t>=IFERROR((L33-N33),"")</t>
  </si>
  <si>
    <t>=IF(G70="","Skjul","show")</t>
  </si>
  <si>
    <t>=+C69</t>
  </si>
  <si>
    <t>=IF($D70&lt;&gt;"",NF($D70,"1 Nummer"),"")</t>
  </si>
  <si>
    <t>=IF($D70&lt;&gt;"",NF($D70,"Beskrivelse"),"")&amp;" "&amp;NL(,"Udvidet tekst - linje","Tekst","nummer",$G70)</t>
  </si>
  <si>
    <t>=NL(,"6082571 Informations opsætning","11 Værdi","3 Information kode","MÅLEANTAL","2 Nummer",$G70)&amp;" "&amp;NL(,"6082571 Informations opsætning","14 Beskrivelse","3 Information kode","MÅLEENHED","2 Nummer",$G70)</t>
  </si>
  <si>
    <t>=NL(,"5404 Vareenhed","3 Antal pr. enhed","2 Kode","KOLLI","1 Varenr.",$G70)</t>
  </si>
  <si>
    <t>=NL(,"7002 Salgspris","5 Salgspris","2 Salgskode","grundpris","13 Salgstype","Debitorprisgruppe","1 Varenr.",$G70,"15 Slutdato",$E$8,"4 Startdato",$E$7)</t>
  </si>
  <si>
    <t>=IF($G70&lt;&gt;"",NL(,"7002 Salgspris","6082688 Vejl. salgspris afrundet","2 Salgskode","grundpris","13 Salgstype","Debitorprisgruppe","1 Varenr.",$G70,"15 Slutdato",$E$8,"4 Startdato",$E$7),"")</t>
  </si>
  <si>
    <t>=IF($G70&lt;&gt;"",NL("Last","7002 Salgspris","5 Salgspris","2 Salgskode",$D$3,"13 Salgstype","Kampagne","1 Varenr.",$G70),"")</t>
  </si>
  <si>
    <t>=IF($G70&lt;&gt;"",NL("Last","7002 Salgspris","6082688 Vejl. salgspris afrundet","2 Salgskode",$D$3,"13 Salgstype","Kampagne","1 Varenr.",$G70),"")</t>
  </si>
  <si>
    <t>=IFERROR((L70-N70),"")</t>
  </si>
  <si>
    <t>=IF(G71="","Skjul","show")</t>
  </si>
  <si>
    <t>=+C70</t>
  </si>
  <si>
    <t>=IF($D71&lt;&gt;"",NF($D71,"1 Nummer"),"")</t>
  </si>
  <si>
    <t>=IF($D71&lt;&gt;"",NF($D71,"Beskrivelse"),"")&amp;" "&amp;NL(,"Udvidet tekst - linje","Tekst","nummer",$G71)</t>
  </si>
  <si>
    <t>=NL(,"6082571 Informations opsætning","11 Værdi","3 Information kode","MÅLEANTAL","2 Nummer",$G71)&amp;" "&amp;NL(,"6082571 Informations opsætning","14 Beskrivelse","3 Information kode","MÅLEENHED","2 Nummer",$G71)</t>
  </si>
  <si>
    <t>=NL(,"5404 Vareenhed","3 Antal pr. enhed","2 Kode","KOLLI","1 Varenr.",$G71)</t>
  </si>
  <si>
    <t>=NL(,"7002 Salgspris","5 Salgspris","2 Salgskode","grundpris","13 Salgstype","Debitorprisgruppe","1 Varenr.",$G71,"15 Slutdato",$E$8,"4 Startdato",$E$7)</t>
  </si>
  <si>
    <t>=IF($G71&lt;&gt;"",NL(,"7002 Salgspris","6082688 Vejl. salgspris afrundet","2 Salgskode","grundpris","13 Salgstype","Debitorprisgruppe","1 Varenr.",$G71,"15 Slutdato",$E$8,"4 Startdato",$E$7),"")</t>
  </si>
  <si>
    <t>=IF($G71&lt;&gt;"",NL("Last","7002 Salgspris","5 Salgspris","2 Salgskode",$D$3,"13 Salgstype","Kampagne","1 Varenr.",$G71),"")</t>
  </si>
  <si>
    <t>=IF($G71&lt;&gt;"",NL("Last","7002 Salgspris","6082688 Vejl. salgspris afrundet","2 Salgskode",$D$3,"13 Salgstype","Kampagne","1 Varenr.",$G71),"")</t>
  </si>
  <si>
    <t>=IFERROR((L71-N71),"")</t>
  </si>
  <si>
    <t>=IF(G138="","Skjul","show")</t>
  </si>
  <si>
    <t>=+C137</t>
  </si>
  <si>
    <t>=IF($D138&lt;&gt;"",NF($D138,"1 Nummer"),"")</t>
  </si>
  <si>
    <t>=IF($D138&lt;&gt;"",NF($D138,"Beskrivelse"),"")&amp;" "&amp;NL(,"Udvidet tekst - linje","Tekst","nummer",$G138)</t>
  </si>
  <si>
    <t>=NL(,"6082571 Informations opsætning","11 Værdi","3 Information kode","MÅLEANTAL","2 Nummer",$G138)&amp;" "&amp;NL(,"6082571 Informations opsætning","14 Beskrivelse","3 Information kode","MÅLEENHED","2 Nummer",$G138)</t>
  </si>
  <si>
    <t>=NL(,"5404 Vareenhed","3 Antal pr. enhed","2 Kode","KOLLI","1 Varenr.",$G138)</t>
  </si>
  <si>
    <t>=NL(,"7002 Salgspris","5 Salgspris","2 Salgskode","grundpris","13 Salgstype","Debitorprisgruppe","1 Varenr.",$G138,"15 Slutdato",$E$8,"4 Startdato",$E$7)</t>
  </si>
  <si>
    <t>=IF($G138&lt;&gt;"",NL(,"7002 Salgspris","6082688 Vejl. salgspris afrundet","2 Salgskode","grundpris","13 Salgstype","Debitorprisgruppe","1 Varenr.",$G138,"15 Slutdato",$E$8,"4 Startdato",$E$7),"")</t>
  </si>
  <si>
    <t>=IF($G138&lt;&gt;"",NL("Last","7002 Salgspris","5 Salgspris","2 Salgskode",$D$3,"13 Salgstype","Kampagne","1 Varenr.",$G138),"")</t>
  </si>
  <si>
    <t>=IF($G138&lt;&gt;"",NL("Last","7002 Salgspris","6082688 Vejl. salgspris afrundet","2 Salgskode",$D$3,"13 Salgstype","Kampagne","1 Varenr.",$G138),"")</t>
  </si>
  <si>
    <t>=IFERROR((L138-N138),"")</t>
  </si>
  <si>
    <t>=IF(G34="","Skjul","show")</t>
  </si>
  <si>
    <t>=+C33</t>
  </si>
  <si>
    <t>=IF($D34&lt;&gt;"",NF($D34,"1 Nummer"),"")</t>
  </si>
  <si>
    <t>=IF($D34&lt;&gt;"",NF($D34,"Beskrivelse"),"")&amp;" "&amp;NL(,"Udvidet tekst - linje","Tekst","nummer",$G34)</t>
  </si>
  <si>
    <t>=NL(,"6082571 Informations opsætning","11 Værdi","3 Information kode","MÅLEANTAL","2 Nummer",$G34)&amp;" "&amp;NL(,"6082571 Informations opsætning","14 Beskrivelse","3 Information kode","MÅLEENHED","2 Nummer",$G34)</t>
  </si>
  <si>
    <t>=NL(,"5404 Vareenhed","3 Antal pr. enhed","2 Kode","KOLLI","1 Varenr.",$G34)</t>
  </si>
  <si>
    <t>=NL(,"7002 Salgspris","5 Salgspris","2 Salgskode","grundpris","13 Salgstype","Debitorprisgruppe","1 Varenr.",$G34,"15 Slutdato",$E$8,"4 Startdato",$E$7)</t>
  </si>
  <si>
    <t>=IF($G34&lt;&gt;"",NL(,"7002 Salgspris","6082688 Vejl. salgspris afrundet","2 Salgskode","grundpris","13 Salgstype","Debitorprisgruppe","1 Varenr.",$G34,"15 Slutdato",$E$8,"4 Startdato",$E$7),"")</t>
  </si>
  <si>
    <t>=IF($G34&lt;&gt;"",NL("Last","7002 Salgspris","5 Salgspris","2 Salgskode",$D$3,"13 Salgstype","Kampagne","1 Varenr.",$G34),"")</t>
  </si>
  <si>
    <t>=IF($G34&lt;&gt;"",NL("Last","7002 Salgspris","6082688 Vejl. salgspris afrundet","2 Salgskode",$D$3,"13 Salgstype","Kampagne","1 Varenr.",$G34),"")</t>
  </si>
  <si>
    <t>=IFERROR((L34-N34),"")</t>
  </si>
  <si>
    <t>=IF(G35="","Skjul","show")</t>
  </si>
  <si>
    <t>=+C34</t>
  </si>
  <si>
    <t>=IF($D35&lt;&gt;"",NF($D35,"1 Nummer"),"")</t>
  </si>
  <si>
    <t>=IF($D35&lt;&gt;"",NF($D35,"Beskrivelse"),"")&amp;" "&amp;NL(,"Udvidet tekst - linje","Tekst","nummer",$G35)</t>
  </si>
  <si>
    <t>=NL(,"6082571 Informations opsætning","11 Værdi","3 Information kode","MÅLEANTAL","2 Nummer",$G35)&amp;" "&amp;NL(,"6082571 Informations opsætning","14 Beskrivelse","3 Information kode","MÅLEENHED","2 Nummer",$G35)</t>
  </si>
  <si>
    <t>=NL(,"5404 Vareenhed","3 Antal pr. enhed","2 Kode","KOLLI","1 Varenr.",$G35)</t>
  </si>
  <si>
    <t>=NL(,"7002 Salgspris","5 Salgspris","2 Salgskode","grundpris","13 Salgstype","Debitorprisgruppe","1 Varenr.",$G35,"15 Slutdato",$E$8,"4 Startdato",$E$7)</t>
  </si>
  <si>
    <t>=IF($G35&lt;&gt;"",NL(,"7002 Salgspris","6082688 Vejl. salgspris afrundet","2 Salgskode","grundpris","13 Salgstype","Debitorprisgruppe","1 Varenr.",$G35,"15 Slutdato",$E$8,"4 Startdato",$E$7),"")</t>
  </si>
  <si>
    <t>=IF($G35&lt;&gt;"",NL("Last","7002 Salgspris","5 Salgspris","2 Salgskode",$D$3,"13 Salgstype","Kampagne","1 Varenr.",$G35),"")</t>
  </si>
  <si>
    <t>=IF($G35&lt;&gt;"",NL("Last","7002 Salgspris","6082688 Vejl. salgspris afrundet","2 Salgskode",$D$3,"13 Salgstype","Kampagne","1 Varenr.",$G35),"")</t>
  </si>
  <si>
    <t>=IFERROR((L35-N35),"")</t>
  </si>
  <si>
    <t>=IF(G36="","Skjul","show")</t>
  </si>
  <si>
    <t>=+C35</t>
  </si>
  <si>
    <t>=IF($D36&lt;&gt;"",NF($D36,"1 Nummer"),"")</t>
  </si>
  <si>
    <t>=IF($D36&lt;&gt;"",NF($D36,"Beskrivelse"),"")&amp;" "&amp;NL(,"Udvidet tekst - linje","Tekst","nummer",$G36)</t>
  </si>
  <si>
    <t>=NL(,"6082571 Informations opsætning","11 Værdi","3 Information kode","MÅLEANTAL","2 Nummer",$G36)&amp;" "&amp;NL(,"6082571 Informations opsætning","14 Beskrivelse","3 Information kode","MÅLEENHED","2 Nummer",$G36)</t>
  </si>
  <si>
    <t>=NL(,"5404 Vareenhed","3 Antal pr. enhed","2 Kode","KOLLI","1 Varenr.",$G36)</t>
  </si>
  <si>
    <t>=NL(,"7002 Salgspris","5 Salgspris","2 Salgskode","grundpris","13 Salgstype","Debitorprisgruppe","1 Varenr.",$G36,"15 Slutdato",$E$8,"4 Startdato",$E$7)</t>
  </si>
  <si>
    <t>=IF($G36&lt;&gt;"",NL(,"7002 Salgspris","6082688 Vejl. salgspris afrundet","2 Salgskode","grundpris","13 Salgstype","Debitorprisgruppe","1 Varenr.",$G36,"15 Slutdato",$E$8,"4 Startdato",$E$7),"")</t>
  </si>
  <si>
    <t>=IF($G36&lt;&gt;"",NL("Last","7002 Salgspris","5 Salgspris","2 Salgskode",$D$3,"13 Salgstype","Kampagne","1 Varenr.",$G36),"")</t>
  </si>
  <si>
    <t>=IF($G36&lt;&gt;"",NL("Last","7002 Salgspris","6082688 Vejl. salgspris afrundet","2 Salgskode",$D$3,"13 Salgstype","Kampagne","1 Varenr.",$G36),"")</t>
  </si>
  <si>
    <t>=IFERROR((L36-N36),"")</t>
  </si>
  <si>
    <t>=IF(G66="","Skjul","show")</t>
  </si>
  <si>
    <t>=+C65</t>
  </si>
  <si>
    <t>=IF($D66&lt;&gt;"",NF($D66,"1 Nummer"),"")</t>
  </si>
  <si>
    <t>=IF($D66&lt;&gt;"",NF($D66,"Beskrivelse"),"")&amp;" "&amp;NL(,"Udvidet tekst - linje","Tekst","nummer",$G66)</t>
  </si>
  <si>
    <t>=NL(,"6082571 Informations opsætning","11 Værdi","3 Information kode","MÅLEANTAL","2 Nummer",$G66)&amp;" "&amp;NL(,"6082571 Informations opsætning","14 Beskrivelse","3 Information kode","MÅLEENHED","2 Nummer",$G66)</t>
  </si>
  <si>
    <t>=NL(,"5404 Vareenhed","3 Antal pr. enhed","2 Kode","KOLLI","1 Varenr.",$G66)</t>
  </si>
  <si>
    <t>=NL(,"7002 Salgspris","5 Salgspris","2 Salgskode","grundpris","13 Salgstype","Debitorprisgruppe","1 Varenr.",$G66,"15 Slutdato",$E$8,"4 Startdato",$E$7)</t>
  </si>
  <si>
    <t>=IF($G66&lt;&gt;"",NL(,"7002 Salgspris","6082688 Vejl. salgspris afrundet","2 Salgskode","grundpris","13 Salgstype","Debitorprisgruppe","1 Varenr.",$G66,"15 Slutdato",$E$8,"4 Startdato",$E$7),"")</t>
  </si>
  <si>
    <t>=IF($G66&lt;&gt;"",NL("Last","7002 Salgspris","5 Salgspris","2 Salgskode",$D$3,"13 Salgstype","Kampagne","1 Varenr.",$G66),"")</t>
  </si>
  <si>
    <t>=IF($G66&lt;&gt;"",NL("Last","7002 Salgspris","6082688 Vejl. salgspris afrundet","2 Salgskode",$D$3,"13 Salgstype","Kampagne","1 Varenr.",$G66),"")</t>
  </si>
  <si>
    <t>=IFERROR((L66-N66),"")</t>
  </si>
  <si>
    <t>="""NAV"",""Helsam - Drift"",""23"",""1"",""360"""</t>
  </si>
  <si>
    <t>=IF(G116="","Skjul","show")</t>
  </si>
  <si>
    <t>=+C115</t>
  </si>
  <si>
    <t>=IF($D116&lt;&gt;"",NF($D116,"1 Nummer"),"")</t>
  </si>
  <si>
    <t>=IF($D116&lt;&gt;"",NF($D116,"Beskrivelse"),"")&amp;" "&amp;NL(,"Udvidet tekst - linje","Tekst","nummer",$G116)</t>
  </si>
  <si>
    <t>=NL(,"6082571 Informations opsætning","11 Værdi","3 Information kode","MÅLEANTAL","2 Nummer",$G116)&amp;" "&amp;NL(,"6082571 Informations opsætning","14 Beskrivelse","3 Information kode","MÅLEENHED","2 Nummer",$G116)</t>
  </si>
  <si>
    <t>=NL(,"5404 Vareenhed","3 Antal pr. enhed","2 Kode","KOLLI","1 Varenr.",$G116)</t>
  </si>
  <si>
    <t>=NL(,"7002 Salgspris","5 Salgspris","2 Salgskode","grundpris","13 Salgstype","Debitorprisgruppe","1 Varenr.",$G116,"15 Slutdato",$E$8,"4 Startdato",$E$7)</t>
  </si>
  <si>
    <t>=IF($G116&lt;&gt;"",NL(,"7002 Salgspris","6082688 Vejl. salgspris afrundet","2 Salgskode","grundpris","13 Salgstype","Debitorprisgruppe","1 Varenr.",$G116,"15 Slutdato",$E$8,"4 Startdato",$E$7),"")</t>
  </si>
  <si>
    <t>=IF($G116&lt;&gt;"",NL("Last","7002 Salgspris","5 Salgspris","2 Salgskode",$D$3,"13 Salgstype","Kampagne","1 Varenr.",$G116),"")</t>
  </si>
  <si>
    <t>=IF($G116&lt;&gt;"",NL("Last","7002 Salgspris","6082688 Vejl. salgspris afrundet","2 Salgskode",$D$3,"13 Salgstype","Kampagne","1 Varenr.",$G116),"")</t>
  </si>
  <si>
    <t>=IFERROR((L116-N116),"")</t>
  </si>
  <si>
    <t>=IF(G120="","Skjul","show")</t>
  </si>
  <si>
    <t>=+C119</t>
  </si>
  <si>
    <t>=IF($D120&lt;&gt;"",NF($D120,"1 Nummer"),"")</t>
  </si>
  <si>
    <t>=IF($D120&lt;&gt;"",NF($D120,"Beskrivelse"),"")&amp;" "&amp;NL(,"Udvidet tekst - linje","Tekst","nummer",$G120)</t>
  </si>
  <si>
    <t>=NL(,"6082571 Informations opsætning","11 Værdi","3 Information kode","MÅLEANTAL","2 Nummer",$G120)&amp;" "&amp;NL(,"6082571 Informations opsætning","14 Beskrivelse","3 Information kode","MÅLEENHED","2 Nummer",$G120)</t>
  </si>
  <si>
    <t>=NL(,"5404 Vareenhed","3 Antal pr. enhed","2 Kode","KOLLI","1 Varenr.",$G120)</t>
  </si>
  <si>
    <t>=NL(,"7002 Salgspris","5 Salgspris","2 Salgskode","grundpris","13 Salgstype","Debitorprisgruppe","1 Varenr.",$G120,"15 Slutdato",$E$8,"4 Startdato",$E$7)</t>
  </si>
  <si>
    <t>=IF($G120&lt;&gt;"",NL(,"7002 Salgspris","6082688 Vejl. salgspris afrundet","2 Salgskode","grundpris","13 Salgstype","Debitorprisgruppe","1 Varenr.",$G120,"15 Slutdato",$E$8,"4 Startdato",$E$7),"")</t>
  </si>
  <si>
    <t>=IF($G120&lt;&gt;"",NL("Last","7002 Salgspris","5 Salgspris","2 Salgskode",$D$3,"13 Salgstype","Kampagne","1 Varenr.",$G120),"")</t>
  </si>
  <si>
    <t>=IF($G120&lt;&gt;"",NL("Last","7002 Salgspris","6082688 Vejl. salgspris afrundet","2 Salgskode",$D$3,"13 Salgstype","Kampagne","1 Varenr.",$G120),"")</t>
  </si>
  <si>
    <t>=IFERROR((L120-N120),"")</t>
  </si>
  <si>
    <t>=IF(G125="","Skjul","show")</t>
  </si>
  <si>
    <t>=+C124</t>
  </si>
  <si>
    <t>=IF($D125&lt;&gt;"",NF($D125,"1 Nummer"),"")</t>
  </si>
  <si>
    <t>=IF($D125&lt;&gt;"",NF($D125,"Beskrivelse"),"")&amp;" "&amp;NL(,"Udvidet tekst - linje","Tekst","nummer",$G125)</t>
  </si>
  <si>
    <t>=NL(,"6082571 Informations opsætning","11 Værdi","3 Information kode","MÅLEANTAL","2 Nummer",$G125)&amp;" "&amp;NL(,"6082571 Informations opsætning","14 Beskrivelse","3 Information kode","MÅLEENHED","2 Nummer",$G125)</t>
  </si>
  <si>
    <t>=NL(,"5404 Vareenhed","3 Antal pr. enhed","2 Kode","KOLLI","1 Varenr.",$G125)</t>
  </si>
  <si>
    <t>=NL(,"7002 Salgspris","5 Salgspris","2 Salgskode","grundpris","13 Salgstype","Debitorprisgruppe","1 Varenr.",$G125,"15 Slutdato",$E$8,"4 Startdato",$E$7)</t>
  </si>
  <si>
    <t>=IF($G125&lt;&gt;"",NL(,"7002 Salgspris","6082688 Vejl. salgspris afrundet","2 Salgskode","grundpris","13 Salgstype","Debitorprisgruppe","1 Varenr.",$G125,"15 Slutdato",$E$8,"4 Startdato",$E$7),"")</t>
  </si>
  <si>
    <t>=IF($G125&lt;&gt;"",NL("Last","7002 Salgspris","5 Salgspris","2 Salgskode",$D$3,"13 Salgstype","Kampagne","1 Varenr.",$G125),"")</t>
  </si>
  <si>
    <t>=IF($G125&lt;&gt;"",NL("Last","7002 Salgspris","6082688 Vejl. salgspris afrundet","2 Salgskode",$D$3,"13 Salgstype","Kampagne","1 Varenr.",$G125),"")</t>
  </si>
  <si>
    <t>=IFERROR((L125-N125),"")</t>
  </si>
  <si>
    <t>=IF(G126="","Skjul","show")</t>
  </si>
  <si>
    <t>=+C125</t>
  </si>
  <si>
    <t>=IF($D126&lt;&gt;"",NF($D126,"1 Nummer"),"")</t>
  </si>
  <si>
    <t>=IF($D126&lt;&gt;"",NF($D126,"Beskrivelse"),"")&amp;" "&amp;NL(,"Udvidet tekst - linje","Tekst","nummer",$G126)</t>
  </si>
  <si>
    <t>=NL(,"6082571 Informations opsætning","11 Værdi","3 Information kode","MÅLEANTAL","2 Nummer",$G126)&amp;" "&amp;NL(,"6082571 Informations opsætning","14 Beskrivelse","3 Information kode","MÅLEENHED","2 Nummer",$G126)</t>
  </si>
  <si>
    <t>=NL(,"5404 Vareenhed","3 Antal pr. enhed","2 Kode","KOLLI","1 Varenr.",$G126)</t>
  </si>
  <si>
    <t>=NL(,"7002 Salgspris","5 Salgspris","2 Salgskode","grundpris","13 Salgstype","Debitorprisgruppe","1 Varenr.",$G126,"15 Slutdato",$E$8,"4 Startdato",$E$7)</t>
  </si>
  <si>
    <t>=IF($G126&lt;&gt;"",NL(,"7002 Salgspris","6082688 Vejl. salgspris afrundet","2 Salgskode","grundpris","13 Salgstype","Debitorprisgruppe","1 Varenr.",$G126,"15 Slutdato",$E$8,"4 Startdato",$E$7),"")</t>
  </si>
  <si>
    <t>=IF($G126&lt;&gt;"",NL("Last","7002 Salgspris","5 Salgspris","2 Salgskode",$D$3,"13 Salgstype","Kampagne","1 Varenr.",$G126),"")</t>
  </si>
  <si>
    <t>=IF($G126&lt;&gt;"",NL("Last","7002 Salgspris","6082688 Vejl. salgspris afrundet","2 Salgskode",$D$3,"13 Salgstype","Kampagne","1 Varenr.",$G126),"")</t>
  </si>
  <si>
    <t>=IFERROR((L126-N126),"")</t>
  </si>
  <si>
    <t>=IF(G127="","Skjul","show")</t>
  </si>
  <si>
    <t>=+C126</t>
  </si>
  <si>
    <t>=IF($D127&lt;&gt;"",NF($D127,"1 Nummer"),"")</t>
  </si>
  <si>
    <t>=IF($D127&lt;&gt;"",NF($D127,"Beskrivelse"),"")&amp;" "&amp;NL(,"Udvidet tekst - linje","Tekst","nummer",$G127)</t>
  </si>
  <si>
    <t>=NL(,"6082571 Informations opsætning","11 Værdi","3 Information kode","MÅLEANTAL","2 Nummer",$G127)&amp;" "&amp;NL(,"6082571 Informations opsætning","14 Beskrivelse","3 Information kode","MÅLEENHED","2 Nummer",$G127)</t>
  </si>
  <si>
    <t>=NL(,"5404 Vareenhed","3 Antal pr. enhed","2 Kode","KOLLI","1 Varenr.",$G127)</t>
  </si>
  <si>
    <t>=NL(,"7002 Salgspris","5 Salgspris","2 Salgskode","grundpris","13 Salgstype","Debitorprisgruppe","1 Varenr.",$G127,"15 Slutdato",$E$8,"4 Startdato",$E$7)</t>
  </si>
  <si>
    <t>=IF($G127&lt;&gt;"",NL(,"7002 Salgspris","6082688 Vejl. salgspris afrundet","2 Salgskode","grundpris","13 Salgstype","Debitorprisgruppe","1 Varenr.",$G127,"15 Slutdato",$E$8,"4 Startdato",$E$7),"")</t>
  </si>
  <si>
    <t>=IF($G127&lt;&gt;"",NL("Last","7002 Salgspris","5 Salgspris","2 Salgskode",$D$3,"13 Salgstype","Kampagne","1 Varenr.",$G127),"")</t>
  </si>
  <si>
    <t>=IF($G127&lt;&gt;"",NL("Last","7002 Salgspris","6082688 Vejl. salgspris afrundet","2 Salgskode",$D$3,"13 Salgstype","Kampagne","1 Varenr.",$G127),"")</t>
  </si>
  <si>
    <t>=IFERROR((L127-N127),"")</t>
  </si>
  <si>
    <t>=IF(G131="","Skjul","show")</t>
  </si>
  <si>
    <t>=+C130</t>
  </si>
  <si>
    <t>=IF($D131&lt;&gt;"",NF($D131,"1 Nummer"),"")</t>
  </si>
  <si>
    <t>=IF($D131&lt;&gt;"",NF($D131,"Beskrivelse"),"")&amp;" "&amp;NL(,"Udvidet tekst - linje","Tekst","nummer",$G131)</t>
  </si>
  <si>
    <t>=NL(,"6082571 Informations opsætning","11 Værdi","3 Information kode","MÅLEANTAL","2 Nummer",$G131)&amp;" "&amp;NL(,"6082571 Informations opsætning","14 Beskrivelse","3 Information kode","MÅLEENHED","2 Nummer",$G131)</t>
  </si>
  <si>
    <t>=NL(,"5404 Vareenhed","3 Antal pr. enhed","2 Kode","KOLLI","1 Varenr.",$G131)</t>
  </si>
  <si>
    <t>=NL(,"7002 Salgspris","5 Salgspris","2 Salgskode","grundpris","13 Salgstype","Debitorprisgruppe","1 Varenr.",$G131,"15 Slutdato",$E$8,"4 Startdato",$E$7)</t>
  </si>
  <si>
    <t>=IF($G131&lt;&gt;"",NL(,"7002 Salgspris","6082688 Vejl. salgspris afrundet","2 Salgskode","grundpris","13 Salgstype","Debitorprisgruppe","1 Varenr.",$G131,"15 Slutdato",$E$8,"4 Startdato",$E$7),"")</t>
  </si>
  <si>
    <t>=IF($G131&lt;&gt;"",NL("Last","7002 Salgspris","5 Salgspris","2 Salgskode",$D$3,"13 Salgstype","Kampagne","1 Varenr.",$G131),"")</t>
  </si>
  <si>
    <t>=IF($G131&lt;&gt;"",NL("Last","7002 Salgspris","6082688 Vejl. salgspris afrundet","2 Salgskode",$D$3,"13 Salgstype","Kampagne","1 Varenr.",$G131),"")</t>
  </si>
  <si>
    <t>=IFERROR((L131-N131),"")</t>
  </si>
  <si>
    <t>=IF(G132="","Skjul","show")</t>
  </si>
  <si>
    <t>=+C131</t>
  </si>
  <si>
    <t>=IF($D132&lt;&gt;"",NF($D132,"1 Nummer"),"")</t>
  </si>
  <si>
    <t>=IF($D132&lt;&gt;"",NF($D132,"Beskrivelse"),"")&amp;" "&amp;NL(,"Udvidet tekst - linje","Tekst","nummer",$G132)</t>
  </si>
  <si>
    <t>=NL(,"6082571 Informations opsætning","11 Værdi","3 Information kode","MÅLEANTAL","2 Nummer",$G132)&amp;" "&amp;NL(,"6082571 Informations opsætning","14 Beskrivelse","3 Information kode","MÅLEENHED","2 Nummer",$G132)</t>
  </si>
  <si>
    <t>=NL(,"5404 Vareenhed","3 Antal pr. enhed","2 Kode","KOLLI","1 Varenr.",$G132)</t>
  </si>
  <si>
    <t>=NL(,"7002 Salgspris","5 Salgspris","2 Salgskode","grundpris","13 Salgstype","Debitorprisgruppe","1 Varenr.",$G132,"15 Slutdato",$E$8,"4 Startdato",$E$7)</t>
  </si>
  <si>
    <t>=IF($G132&lt;&gt;"",NL(,"7002 Salgspris","6082688 Vejl. salgspris afrundet","2 Salgskode","grundpris","13 Salgstype","Debitorprisgruppe","1 Varenr.",$G132,"15 Slutdato",$E$8,"4 Startdato",$E$7),"")</t>
  </si>
  <si>
    <t>=IF($G132&lt;&gt;"",NL("Last","7002 Salgspris","5 Salgspris","2 Salgskode",$D$3,"13 Salgstype","Kampagne","1 Varenr.",$G132),"")</t>
  </si>
  <si>
    <t>=IF($G132&lt;&gt;"",NL("Last","7002 Salgspris","6082688 Vejl. salgspris afrundet","2 Salgskode",$D$3,"13 Salgstype","Kampagne","1 Varenr.",$G132),"")</t>
  </si>
  <si>
    <t>=IFERROR((L132-N132),"")</t>
  </si>
  <si>
    <t>=IF(G133="","Skjul","show")</t>
  </si>
  <si>
    <t>=+C132</t>
  </si>
  <si>
    <t>=IF($D133&lt;&gt;"",NF($D133,"1 Nummer"),"")</t>
  </si>
  <si>
    <t>=IF($D133&lt;&gt;"",NF($D133,"Beskrivelse"),"")&amp;" "&amp;NL(,"Udvidet tekst - linje","Tekst","nummer",$G133)</t>
  </si>
  <si>
    <t>=NL(,"6082571 Informations opsætning","11 Værdi","3 Information kode","MÅLEANTAL","2 Nummer",$G133)&amp;" "&amp;NL(,"6082571 Informations opsætning","14 Beskrivelse","3 Information kode","MÅLEENHED","2 Nummer",$G133)</t>
  </si>
  <si>
    <t>=NL(,"5404 Vareenhed","3 Antal pr. enhed","2 Kode","KOLLI","1 Varenr.",$G133)</t>
  </si>
  <si>
    <t>=NL(,"7002 Salgspris","5 Salgspris","2 Salgskode","grundpris","13 Salgstype","Debitorprisgruppe","1 Varenr.",$G133,"15 Slutdato",$E$8,"4 Startdato",$E$7)</t>
  </si>
  <si>
    <t>=IF($G133&lt;&gt;"",NL(,"7002 Salgspris","6082688 Vejl. salgspris afrundet","2 Salgskode","grundpris","13 Salgstype","Debitorprisgruppe","1 Varenr.",$G133,"15 Slutdato",$E$8,"4 Startdato",$E$7),"")</t>
  </si>
  <si>
    <t>=IF($G133&lt;&gt;"",NL("Last","7002 Salgspris","5 Salgspris","2 Salgskode",$D$3,"13 Salgstype","Kampagne","1 Varenr.",$G133),"")</t>
  </si>
  <si>
    <t>=IF($G133&lt;&gt;"",NL("Last","7002 Salgspris","6082688 Vejl. salgspris afrundet","2 Salgskode",$D$3,"13 Salgstype","Kampagne","1 Varenr.",$G133),"")</t>
  </si>
  <si>
    <t>=IFERROR((L133-N133),"")</t>
  </si>
  <si>
    <t>=IF(G146="","Skjul","show")</t>
  </si>
  <si>
    <t>=+C145</t>
  </si>
  <si>
    <t>=IF($D146&lt;&gt;"",NF($D146,"1 Nummer"),"")</t>
  </si>
  <si>
    <t>=IF($D146&lt;&gt;"",NF($D146,"Beskrivelse"),"")&amp;" "&amp;NL(,"Udvidet tekst - linje","Tekst","nummer",$G146)</t>
  </si>
  <si>
    <t>=NL(,"6082571 Informations opsætning","11 Værdi","3 Information kode","MÅLEANTAL","2 Nummer",$G146)&amp;" "&amp;NL(,"6082571 Informations opsætning","14 Beskrivelse","3 Information kode","MÅLEENHED","2 Nummer",$G146)</t>
  </si>
  <si>
    <t>=NL(,"5404 Vareenhed","3 Antal pr. enhed","2 Kode","KOLLI","1 Varenr.",$G146)</t>
  </si>
  <si>
    <t>=NL(,"7002 Salgspris","5 Salgspris","2 Salgskode","grundpris","13 Salgstype","Debitorprisgruppe","1 Varenr.",$G146,"15 Slutdato",$E$8,"4 Startdato",$E$7)</t>
  </si>
  <si>
    <t>=IF($G146&lt;&gt;"",NL(,"7002 Salgspris","6082688 Vejl. salgspris afrundet","2 Salgskode","grundpris","13 Salgstype","Debitorprisgruppe","1 Varenr.",$G146,"15 Slutdato",$E$8,"4 Startdato",$E$7),"")</t>
  </si>
  <si>
    <t>=IF($G146&lt;&gt;"",NL("Last","7002 Salgspris","5 Salgspris","2 Salgskode",$D$3,"13 Salgstype","Kampagne","1 Varenr.",$G146),"")</t>
  </si>
  <si>
    <t>=IF($G146&lt;&gt;"",NL("Last","7002 Salgspris","6082688 Vejl. salgspris afrundet","2 Salgskode",$D$3,"13 Salgstype","Kampagne","1 Varenr.",$G146),"")</t>
  </si>
  <si>
    <t>=IFERROR((L146-N146),"")</t>
  </si>
  <si>
    <t>=IF(G147="","Skjul","show")</t>
  </si>
  <si>
    <t>=+C146</t>
  </si>
  <si>
    <t>=IF($D147&lt;&gt;"",NF($D147,"1 Nummer"),"")</t>
  </si>
  <si>
    <t>=IF($D147&lt;&gt;"",NF($D147,"Beskrivelse"),"")&amp;" "&amp;NL(,"Udvidet tekst - linje","Tekst","nummer",$G147)</t>
  </si>
  <si>
    <t>=NL(,"6082571 Informations opsætning","11 Værdi","3 Information kode","MÅLEANTAL","2 Nummer",$G147)&amp;" "&amp;NL(,"6082571 Informations opsætning","14 Beskrivelse","3 Information kode","MÅLEENHED","2 Nummer",$G147)</t>
  </si>
  <si>
    <t>=NL(,"5404 Vareenhed","3 Antal pr. enhed","2 Kode","KOLLI","1 Varenr.",$G147)</t>
  </si>
  <si>
    <t>=NL(,"7002 Salgspris","5 Salgspris","2 Salgskode","grundpris","13 Salgstype","Debitorprisgruppe","1 Varenr.",$G147,"15 Slutdato",$E$8,"4 Startdato",$E$7)</t>
  </si>
  <si>
    <t>=IF($G147&lt;&gt;"",NL(,"7002 Salgspris","6082688 Vejl. salgspris afrundet","2 Salgskode","grundpris","13 Salgstype","Debitorprisgruppe","1 Varenr.",$G147,"15 Slutdato",$E$8,"4 Startdato",$E$7),"")</t>
  </si>
  <si>
    <t>=IF($G147&lt;&gt;"",NL("Last","7002 Salgspris","5 Salgspris","2 Salgskode",$D$3,"13 Salgstype","Kampagne","1 Varenr.",$G147),"")</t>
  </si>
  <si>
    <t>=IF($G147&lt;&gt;"",NL("Last","7002 Salgspris","6082688 Vejl. salgspris afrundet","2 Salgskode",$D$3,"13 Salgstype","Kampagne","1 Varenr.",$G147),"")</t>
  </si>
  <si>
    <t>=IFERROR((L147-N147),"")</t>
  </si>
  <si>
    <t>=IF(G37="","Skjul","show")</t>
  </si>
  <si>
    <t>=+C36</t>
  </si>
  <si>
    <t>=IF($D37&lt;&gt;"",NF($D37,"1 Nummer"),"")</t>
  </si>
  <si>
    <t>=IF($D37&lt;&gt;"",NF($D37,"Beskrivelse"),"")&amp;" "&amp;NL(,"Udvidet tekst - linje","Tekst","nummer",$G37)</t>
  </si>
  <si>
    <t>=NL(,"6082571 Informations opsætning","11 Værdi","3 Information kode","MÅLEANTAL","2 Nummer",$G37)&amp;" "&amp;NL(,"6082571 Informations opsætning","14 Beskrivelse","3 Information kode","MÅLEENHED","2 Nummer",$G37)</t>
  </si>
  <si>
    <t>=NL(,"5404 Vareenhed","3 Antal pr. enhed","2 Kode","KOLLI","1 Varenr.",$G37)</t>
  </si>
  <si>
    <t>=NL(,"7002 Salgspris","5 Salgspris","2 Salgskode","grundpris","13 Salgstype","Debitorprisgruppe","1 Varenr.",$G37,"15 Slutdato",$E$8,"4 Startdato",$E$7)</t>
  </si>
  <si>
    <t>=IF($G37&lt;&gt;"",NL(,"7002 Salgspris","6082688 Vejl. salgspris afrundet","2 Salgskode","grundpris","13 Salgstype","Debitorprisgruppe","1 Varenr.",$G37,"15 Slutdato",$E$8,"4 Startdato",$E$7),"")</t>
  </si>
  <si>
    <t>=IF($G37&lt;&gt;"",NL("Last","7002 Salgspris","5 Salgspris","2 Salgskode",$D$3,"13 Salgstype","Kampagne","1 Varenr.",$G37),"")</t>
  </si>
  <si>
    <t>=IF($G37&lt;&gt;"",NL("Last","7002 Salgspris","6082688 Vejl. salgspris afrundet","2 Salgskode",$D$3,"13 Salgstype","Kampagne","1 Varenr.",$G37),"")</t>
  </si>
  <si>
    <t>=IFERROR((L37-N37),"")</t>
  </si>
  <si>
    <t>=IF(G38="","Skjul","show")</t>
  </si>
  <si>
    <t>=+C37</t>
  </si>
  <si>
    <t>=IF($D38&lt;&gt;"",NF($D38,"1 Nummer"),"")</t>
  </si>
  <si>
    <t>=IF($D38&lt;&gt;"",NF($D38,"Beskrivelse"),"")&amp;" "&amp;NL(,"Udvidet tekst - linje","Tekst","nummer",$G38)</t>
  </si>
  <si>
    <t>=NL(,"6082571 Informations opsætning","11 Værdi","3 Information kode","MÅLEANTAL","2 Nummer",$G38)&amp;" "&amp;NL(,"6082571 Informations opsætning","14 Beskrivelse","3 Information kode","MÅLEENHED","2 Nummer",$G38)</t>
  </si>
  <si>
    <t>=NL(,"5404 Vareenhed","3 Antal pr. enhed","2 Kode","KOLLI","1 Varenr.",$G38)</t>
  </si>
  <si>
    <t>=NL(,"7002 Salgspris","5 Salgspris","2 Salgskode","grundpris","13 Salgstype","Debitorprisgruppe","1 Varenr.",$G38,"15 Slutdato",$E$8,"4 Startdato",$E$7)</t>
  </si>
  <si>
    <t>=IF($G38&lt;&gt;"",NL(,"7002 Salgspris","6082688 Vejl. salgspris afrundet","2 Salgskode","grundpris","13 Salgstype","Debitorprisgruppe","1 Varenr.",$G38,"15 Slutdato",$E$8,"4 Startdato",$E$7),"")</t>
  </si>
  <si>
    <t>=IF($G38&lt;&gt;"",NL("Last","7002 Salgspris","5 Salgspris","2 Salgskode",$D$3,"13 Salgstype","Kampagne","1 Varenr.",$G38),"")</t>
  </si>
  <si>
    <t>=IF($G38&lt;&gt;"",NL("Last","7002 Salgspris","6082688 Vejl. salgspris afrundet","2 Salgskode",$D$3,"13 Salgstype","Kampagne","1 Varenr.",$G38),"")</t>
  </si>
  <si>
    <t>=IFERROR((L38-N38),"")</t>
  </si>
  <si>
    <t>=IF(G39="","Skjul","show")</t>
  </si>
  <si>
    <t>=+C38</t>
  </si>
  <si>
    <t>=IF($D39&lt;&gt;"",NF($D39,"1 Nummer"),"")</t>
  </si>
  <si>
    <t>=IF($D39&lt;&gt;"",NF($D39,"Beskrivelse"),"")&amp;" "&amp;NL(,"Udvidet tekst - linje","Tekst","nummer",$G39)</t>
  </si>
  <si>
    <t>=NL(,"6082571 Informations opsætning","11 Værdi","3 Information kode","MÅLEANTAL","2 Nummer",$G39)&amp;" "&amp;NL(,"6082571 Informations opsætning","14 Beskrivelse","3 Information kode","MÅLEENHED","2 Nummer",$G39)</t>
  </si>
  <si>
    <t>=NL(,"5404 Vareenhed","3 Antal pr. enhed","2 Kode","KOLLI","1 Varenr.",$G39)</t>
  </si>
  <si>
    <t>=NL(,"7002 Salgspris","5 Salgspris","2 Salgskode","grundpris","13 Salgstype","Debitorprisgruppe","1 Varenr.",$G39,"15 Slutdato",$E$8,"4 Startdato",$E$7)</t>
  </si>
  <si>
    <t>=IF($G39&lt;&gt;"",NL(,"7002 Salgspris","6082688 Vejl. salgspris afrundet","2 Salgskode","grundpris","13 Salgstype","Debitorprisgruppe","1 Varenr.",$G39,"15 Slutdato",$E$8,"4 Startdato",$E$7),"")</t>
  </si>
  <si>
    <t>=IF($G39&lt;&gt;"",NL("Last","7002 Salgspris","5 Salgspris","2 Salgskode",$D$3,"13 Salgstype","Kampagne","1 Varenr.",$G39),"")</t>
  </si>
  <si>
    <t>=IF($G39&lt;&gt;"",NL("Last","7002 Salgspris","6082688 Vejl. salgspris afrundet","2 Salgskode",$D$3,"13 Salgstype","Kampagne","1 Varenr.",$G39),"")</t>
  </si>
  <si>
    <t>=IFERROR((L39-N39),"")</t>
  </si>
  <si>
    <t>=IF(G72="","Skjul","show")</t>
  </si>
  <si>
    <t>=+C71</t>
  </si>
  <si>
    <t>=IF($D72&lt;&gt;"",NF($D72,"1 Nummer"),"")</t>
  </si>
  <si>
    <t>=IF($D72&lt;&gt;"",NF($D72,"Beskrivelse"),"")&amp;" "&amp;NL(,"Udvidet tekst - linje","Tekst","nummer",$G72)</t>
  </si>
  <si>
    <t>=NL(,"6082571 Informations opsætning","11 Værdi","3 Information kode","MÅLEANTAL","2 Nummer",$G72)&amp;" "&amp;NL(,"6082571 Informations opsætning","14 Beskrivelse","3 Information kode","MÅLEENHED","2 Nummer",$G72)</t>
  </si>
  <si>
    <t>=NL(,"5404 Vareenhed","3 Antal pr. enhed","2 Kode","KOLLI","1 Varenr.",$G72)</t>
  </si>
  <si>
    <t>=NL(,"7002 Salgspris","5 Salgspris","2 Salgskode","grundpris","13 Salgstype","Debitorprisgruppe","1 Varenr.",$G72,"15 Slutdato",$E$8,"4 Startdato",$E$7)</t>
  </si>
  <si>
    <t>=IF($G72&lt;&gt;"",NL(,"7002 Salgspris","6082688 Vejl. salgspris afrundet","2 Salgskode","grundpris","13 Salgstype","Debitorprisgruppe","1 Varenr.",$G72,"15 Slutdato",$E$8,"4 Startdato",$E$7),"")</t>
  </si>
  <si>
    <t>=IF($G72&lt;&gt;"",NL("Last","7002 Salgspris","5 Salgspris","2 Salgskode",$D$3,"13 Salgstype","Kampagne","1 Varenr.",$G72),"")</t>
  </si>
  <si>
    <t>=IF($G72&lt;&gt;"",NL("Last","7002 Salgspris","6082688 Vejl. salgspris afrundet","2 Salgskode",$D$3,"13 Salgstype","Kampagne","1 Varenr.",$G72),"")</t>
  </si>
  <si>
    <t>=IFERROR((L72-N72),"")</t>
  </si>
  <si>
    <t>=IF(G73="","Skjul","show")</t>
  </si>
  <si>
    <t>=+C72</t>
  </si>
  <si>
    <t>=IF($D73&lt;&gt;"",NF($D73,"1 Nummer"),"")</t>
  </si>
  <si>
    <t>=IF($D73&lt;&gt;"",NF($D73,"Beskrivelse"),"")&amp;" "&amp;NL(,"Udvidet tekst - linje","Tekst","nummer",$G73)</t>
  </si>
  <si>
    <t>=NL(,"6082571 Informations opsætning","11 Værdi","3 Information kode","MÅLEANTAL","2 Nummer",$G73)&amp;" "&amp;NL(,"6082571 Informations opsætning","14 Beskrivelse","3 Information kode","MÅLEENHED","2 Nummer",$G73)</t>
  </si>
  <si>
    <t>=NL(,"5404 Vareenhed","3 Antal pr. enhed","2 Kode","KOLLI","1 Varenr.",$G73)</t>
  </si>
  <si>
    <t>=NL(,"7002 Salgspris","5 Salgspris","2 Salgskode","grundpris","13 Salgstype","Debitorprisgruppe","1 Varenr.",$G73,"15 Slutdato",$E$8,"4 Startdato",$E$7)</t>
  </si>
  <si>
    <t>=IF($G73&lt;&gt;"",NL(,"7002 Salgspris","6082688 Vejl. salgspris afrundet","2 Salgskode","grundpris","13 Salgstype","Debitorprisgruppe","1 Varenr.",$G73,"15 Slutdato",$E$8,"4 Startdato",$E$7),"")</t>
  </si>
  <si>
    <t>=IF($G73&lt;&gt;"",NL("Last","7002 Salgspris","5 Salgspris","2 Salgskode",$D$3,"13 Salgstype","Kampagne","1 Varenr.",$G73),"")</t>
  </si>
  <si>
    <t>=IF($G73&lt;&gt;"",NL("Last","7002 Salgspris","6082688 Vejl. salgspris afrundet","2 Salgskode",$D$3,"13 Salgstype","Kampagne","1 Varenr.",$G73),"")</t>
  </si>
  <si>
    <t>=IFERROR((L73-N73),"")</t>
  </si>
  <si>
    <t>=IF(G97="","Skjul","show")</t>
  </si>
  <si>
    <t>=+C96</t>
  </si>
  <si>
    <t>=IF($D97&lt;&gt;"",NF($D97,"1 Nummer"),"")</t>
  </si>
  <si>
    <t>=IF($D97&lt;&gt;"",NF($D97,"Beskrivelse"),"")&amp;" "&amp;NL(,"Udvidet tekst - linje","Tekst","nummer",$G97)</t>
  </si>
  <si>
    <t>=NL(,"6082571 Informations opsætning","11 Værdi","3 Information kode","MÅLEANTAL","2 Nummer",$G97)&amp;" "&amp;NL(,"6082571 Informations opsætning","14 Beskrivelse","3 Information kode","MÅLEENHED","2 Nummer",$G97)</t>
  </si>
  <si>
    <t>=NL(,"5404 Vareenhed","3 Antal pr. enhed","2 Kode","KOLLI","1 Varenr.",$G97)</t>
  </si>
  <si>
    <t>=NL(,"7002 Salgspris","5 Salgspris","2 Salgskode","grundpris","13 Salgstype","Debitorprisgruppe","1 Varenr.",$G97,"15 Slutdato",$E$8,"4 Startdato",$E$7)</t>
  </si>
  <si>
    <t>=IF($G97&lt;&gt;"",NL(,"7002 Salgspris","6082688 Vejl. salgspris afrundet","2 Salgskode","grundpris","13 Salgstype","Debitorprisgruppe","1 Varenr.",$G97,"15 Slutdato",$E$8,"4 Startdato",$E$7),"")</t>
  </si>
  <si>
    <t>=IF($G97&lt;&gt;"",NL("Last","7002 Salgspris","5 Salgspris","2 Salgskode",$D$3,"13 Salgstype","Kampagne","1 Varenr.",$G97),"")</t>
  </si>
  <si>
    <t>=IF($G97&lt;&gt;"",NL("Last","7002 Salgspris","6082688 Vejl. salgspris afrundet","2 Salgskode",$D$3,"13 Salgstype","Kampagne","1 Varenr.",$G97),"")</t>
  </si>
  <si>
    <t>=IFERROR((L97-N97),"")</t>
  </si>
  <si>
    <t>=IF(G101="","Skjul","show")</t>
  </si>
  <si>
    <t>=+C100</t>
  </si>
  <si>
    <t>=IF($D101&lt;&gt;"",NF($D101,"1 Nummer"),"")</t>
  </si>
  <si>
    <t>=IF($D101&lt;&gt;"",NF($D101,"Beskrivelse"),"")&amp;" "&amp;NL(,"Udvidet tekst - linje","Tekst","nummer",$G101)</t>
  </si>
  <si>
    <t>=NL(,"6082571 Informations opsætning","11 Værdi","3 Information kode","MÅLEANTAL","2 Nummer",$G101)&amp;" "&amp;NL(,"6082571 Informations opsætning","14 Beskrivelse","3 Information kode","MÅLEENHED","2 Nummer",$G101)</t>
  </si>
  <si>
    <t>=NL(,"5404 Vareenhed","3 Antal pr. enhed","2 Kode","KOLLI","1 Varenr.",$G101)</t>
  </si>
  <si>
    <t>=NL(,"7002 Salgspris","5 Salgspris","2 Salgskode","grundpris","13 Salgstype","Debitorprisgruppe","1 Varenr.",$G101,"15 Slutdato",$E$8,"4 Startdato",$E$7)</t>
  </si>
  <si>
    <t>=IF($G101&lt;&gt;"",NL(,"7002 Salgspris","6082688 Vejl. salgspris afrundet","2 Salgskode","grundpris","13 Salgstype","Debitorprisgruppe","1 Varenr.",$G101,"15 Slutdato",$E$8,"4 Startdato",$E$7),"")</t>
  </si>
  <si>
    <t>=IF($G101&lt;&gt;"",NL("Last","7002 Salgspris","5 Salgspris","2 Salgskode",$D$3,"13 Salgstype","Kampagne","1 Varenr.",$G101),"")</t>
  </si>
  <si>
    <t>=IF($G101&lt;&gt;"",NL("Last","7002 Salgspris","6082688 Vejl. salgspris afrundet","2 Salgskode",$D$3,"13 Salgstype","Kampagne","1 Varenr.",$G101),"")</t>
  </si>
  <si>
    <t>=IFERROR((L101-N101),"")</t>
  </si>
  <si>
    <t>=IF(G102="","Skjul","show")</t>
  </si>
  <si>
    <t>=+C101</t>
  </si>
  <si>
    <t>=IF($D102&lt;&gt;"",NF($D102,"1 Nummer"),"")</t>
  </si>
  <si>
    <t>=IF($D102&lt;&gt;"",NF($D102,"Beskrivelse"),"")&amp;" "&amp;NL(,"Udvidet tekst - linje","Tekst","nummer",$G102)</t>
  </si>
  <si>
    <t>=NL(,"6082571 Informations opsætning","11 Værdi","3 Information kode","MÅLEANTAL","2 Nummer",$G102)&amp;" "&amp;NL(,"6082571 Informations opsætning","14 Beskrivelse","3 Information kode","MÅLEENHED","2 Nummer",$G102)</t>
  </si>
  <si>
    <t>=NL(,"5404 Vareenhed","3 Antal pr. enhed","2 Kode","KOLLI","1 Varenr.",$G102)</t>
  </si>
  <si>
    <t>=NL(,"7002 Salgspris","5 Salgspris","2 Salgskode","grundpris","13 Salgstype","Debitorprisgruppe","1 Varenr.",$G102,"15 Slutdato",$E$8,"4 Startdato",$E$7)</t>
  </si>
  <si>
    <t>=IF($G102&lt;&gt;"",NL(,"7002 Salgspris","6082688 Vejl. salgspris afrundet","2 Salgskode","grundpris","13 Salgstype","Debitorprisgruppe","1 Varenr.",$G102,"15 Slutdato",$E$8,"4 Startdato",$E$7),"")</t>
  </si>
  <si>
    <t>=IF($G102&lt;&gt;"",NL("Last","7002 Salgspris","5 Salgspris","2 Salgskode",$D$3,"13 Salgstype","Kampagne","1 Varenr.",$G102),"")</t>
  </si>
  <si>
    <t>=IF($G102&lt;&gt;"",NL("Last","7002 Salgspris","6082688 Vejl. salgspris afrundet","2 Salgskode",$D$3,"13 Salgstype","Kampagne","1 Varenr.",$G102),"")</t>
  </si>
  <si>
    <t>=IFERROR((L102-N102),"")</t>
  </si>
  <si>
    <t>=IF(G51="","Skjul","show")</t>
  </si>
  <si>
    <t>=+C50</t>
  </si>
  <si>
    <t>=IF($D51&lt;&gt;"",NF($D51,"1 Nummer"),"")</t>
  </si>
  <si>
    <t>=IF($D51&lt;&gt;"",NF($D51,"Beskrivelse"),"")&amp;" "&amp;NL(,"Udvidet tekst - linje","Tekst","nummer",$G51)</t>
  </si>
  <si>
    <t>=NL(,"6082571 Informations opsætning","11 Værdi","3 Information kode","MÅLEANTAL","2 Nummer",$G51)&amp;" "&amp;NL(,"6082571 Informations opsætning","14 Beskrivelse","3 Information kode","MÅLEENHED","2 Nummer",$G51)</t>
  </si>
  <si>
    <t>=NL(,"5404 Vareenhed","3 Antal pr. enhed","2 Kode","KOLLI","1 Varenr.",$G51)</t>
  </si>
  <si>
    <t>=NL(,"7002 Salgspris","5 Salgspris","2 Salgskode","grundpris","13 Salgstype","Debitorprisgruppe","1 Varenr.",$G51,"15 Slutdato",$E$8,"4 Startdato",$E$7)</t>
  </si>
  <si>
    <t>=IF($G51&lt;&gt;"",NL(,"7002 Salgspris","6082688 Vejl. salgspris afrundet","2 Salgskode","grundpris","13 Salgstype","Debitorprisgruppe","1 Varenr.",$G51,"15 Slutdato",$E$8,"4 Startdato",$E$7),"")</t>
  </si>
  <si>
    <t>=IF($G51&lt;&gt;"",NL("Last","7002 Salgspris","5 Salgspris","2 Salgskode",$D$3,"13 Salgstype","Kampagne","1 Varenr.",$G51),"")</t>
  </si>
  <si>
    <t>=IF($G51&lt;&gt;"",NL("Last","7002 Salgspris","6082688 Vejl. salgspris afrundet","2 Salgskode",$D$3,"13 Salgstype","Kampagne","1 Varenr.",$G51),"")</t>
  </si>
  <si>
    <t>=IFERROR((L51-N51),"")</t>
  </si>
  <si>
    <t>=IF(G81="","Skjul","show")</t>
  </si>
  <si>
    <t>=+C80</t>
  </si>
  <si>
    <t>=IF($D81&lt;&gt;"",NF($D81,"1 Nummer"),"")</t>
  </si>
  <si>
    <t>=IF($D81&lt;&gt;"",NF($D81,"Beskrivelse"),"")&amp;" "&amp;NL(,"Udvidet tekst - linje","Tekst","nummer",$G81)</t>
  </si>
  <si>
    <t>=NL(,"6082571 Informations opsætning","11 Værdi","3 Information kode","MÅLEANTAL","2 Nummer",$G81)&amp;" "&amp;NL(,"6082571 Informations opsætning","14 Beskrivelse","3 Information kode","MÅLEENHED","2 Nummer",$G81)</t>
  </si>
  <si>
    <t>=NL(,"5404 Vareenhed","3 Antal pr. enhed","2 Kode","KOLLI","1 Varenr.",$G81)</t>
  </si>
  <si>
    <t>=NL(,"7002 Salgspris","5 Salgspris","2 Salgskode","grundpris","13 Salgstype","Debitorprisgruppe","1 Varenr.",$G81,"15 Slutdato",$E$8,"4 Startdato",$E$7)</t>
  </si>
  <si>
    <t>=IF($G81&lt;&gt;"",NL(,"7002 Salgspris","6082688 Vejl. salgspris afrundet","2 Salgskode","grundpris","13 Salgstype","Debitorprisgruppe","1 Varenr.",$G81,"15 Slutdato",$E$8,"4 Startdato",$E$7),"")</t>
  </si>
  <si>
    <t>=IF($G81&lt;&gt;"",NL("Last","7002 Salgspris","5 Salgspris","2 Salgskode",$D$3,"13 Salgstype","Kampagne","1 Varenr.",$G81),"")</t>
  </si>
  <si>
    <t>=IF($G81&lt;&gt;"",NL("Last","7002 Salgspris","6082688 Vejl. salgspris afrundet","2 Salgskode",$D$3,"13 Salgstype","Kampagne","1 Varenr.",$G81),"")</t>
  </si>
  <si>
    <t>=IFERROR((L81-N81),"")</t>
  </si>
  <si>
    <t>=IF(G82="","Skjul","show")</t>
  </si>
  <si>
    <t>=+C81</t>
  </si>
  <si>
    <t>=IF($D82&lt;&gt;"",NF($D82,"1 Nummer"),"")</t>
  </si>
  <si>
    <t>=IF($D82&lt;&gt;"",NF($D82,"Beskrivelse"),"")&amp;" "&amp;NL(,"Udvidet tekst - linje","Tekst","nummer",$G82)</t>
  </si>
  <si>
    <t>=NL(,"6082571 Informations opsætning","11 Værdi","3 Information kode","MÅLEANTAL","2 Nummer",$G82)&amp;" "&amp;NL(,"6082571 Informations opsætning","14 Beskrivelse","3 Information kode","MÅLEENHED","2 Nummer",$G82)</t>
  </si>
  <si>
    <t>=NL(,"5404 Vareenhed","3 Antal pr. enhed","2 Kode","KOLLI","1 Varenr.",$G82)</t>
  </si>
  <si>
    <t>=NL(,"7002 Salgspris","5 Salgspris","2 Salgskode","grundpris","13 Salgstype","Debitorprisgruppe","1 Varenr.",$G82,"15 Slutdato",$E$8,"4 Startdato",$E$7)</t>
  </si>
  <si>
    <t>=IF($G82&lt;&gt;"",NL(,"7002 Salgspris","6082688 Vejl. salgspris afrundet","2 Salgskode","grundpris","13 Salgstype","Debitorprisgruppe","1 Varenr.",$G82,"15 Slutdato",$E$8,"4 Startdato",$E$7),"")</t>
  </si>
  <si>
    <t>=IF($G82&lt;&gt;"",NL("Last","7002 Salgspris","5 Salgspris","2 Salgskode",$D$3,"13 Salgstype","Kampagne","1 Varenr.",$G82),"")</t>
  </si>
  <si>
    <t>=IF($G82&lt;&gt;"",NL("Last","7002 Salgspris","6082688 Vejl. salgspris afrundet","2 Salgskode",$D$3,"13 Salgstype","Kampagne","1 Varenr.",$G82),"")</t>
  </si>
  <si>
    <t>=IFERROR((L82-N82),"")</t>
  </si>
  <si>
    <t>=IF(G83="","Skjul","show")</t>
  </si>
  <si>
    <t>=+C82</t>
  </si>
  <si>
    <t>=IF($D83&lt;&gt;"",NF($D83,"1 Nummer"),"")</t>
  </si>
  <si>
    <t>=IF($D83&lt;&gt;"",NF($D83,"Beskrivelse"),"")&amp;" "&amp;NL(,"Udvidet tekst - linje","Tekst","nummer",$G83)</t>
  </si>
  <si>
    <t>=NL(,"6082571 Informations opsætning","11 Værdi","3 Information kode","MÅLEANTAL","2 Nummer",$G83)&amp;" "&amp;NL(,"6082571 Informations opsætning","14 Beskrivelse","3 Information kode","MÅLEENHED","2 Nummer",$G83)</t>
  </si>
  <si>
    <t>=NL(,"5404 Vareenhed","3 Antal pr. enhed","2 Kode","KOLLI","1 Varenr.",$G83)</t>
  </si>
  <si>
    <t>=NL(,"7002 Salgspris","5 Salgspris","2 Salgskode","grundpris","13 Salgstype","Debitorprisgruppe","1 Varenr.",$G83,"15 Slutdato",$E$8,"4 Startdato",$E$7)</t>
  </si>
  <si>
    <t>=IF($G83&lt;&gt;"",NL(,"7002 Salgspris","6082688 Vejl. salgspris afrundet","2 Salgskode","grundpris","13 Salgstype","Debitorprisgruppe","1 Varenr.",$G83,"15 Slutdato",$E$8,"4 Startdato",$E$7),"")</t>
  </si>
  <si>
    <t>=IF($G83&lt;&gt;"",NL("Last","7002 Salgspris","5 Salgspris","2 Salgskode",$D$3,"13 Salgstype","Kampagne","1 Varenr.",$G83),"")</t>
  </si>
  <si>
    <t>=IF($G83&lt;&gt;"",NL("Last","7002 Salgspris","6082688 Vejl. salgspris afrundet","2 Salgskode",$D$3,"13 Salgstype","Kampagne","1 Varenr.",$G83),"")</t>
  </si>
  <si>
    <t>=IFERROR((L83-N83),"")</t>
  </si>
  <si>
    <t>=IF(G87="","Skjul","show")</t>
  </si>
  <si>
    <t>=+C86</t>
  </si>
  <si>
    <t>=IF($D87&lt;&gt;"",NF($D87,"1 Nummer"),"")</t>
  </si>
  <si>
    <t>=IF($D87&lt;&gt;"",NF($D87,"Beskrivelse"),"")&amp;" "&amp;NL(,"Udvidet tekst - linje","Tekst","nummer",$G87)</t>
  </si>
  <si>
    <t>=NL(,"6082571 Informations opsætning","11 Værdi","3 Information kode","MÅLEANTAL","2 Nummer",$G87)&amp;" "&amp;NL(,"6082571 Informations opsætning","14 Beskrivelse","3 Information kode","MÅLEENHED","2 Nummer",$G87)</t>
  </si>
  <si>
    <t>=NL(,"5404 Vareenhed","3 Antal pr. enhed","2 Kode","KOLLI","1 Varenr.",$G87)</t>
  </si>
  <si>
    <t>=NL(,"7002 Salgspris","5 Salgspris","2 Salgskode","grundpris","13 Salgstype","Debitorprisgruppe","1 Varenr.",$G87,"15 Slutdato",$E$8,"4 Startdato",$E$7)</t>
  </si>
  <si>
    <t>=IF($G87&lt;&gt;"",NL(,"7002 Salgspris","6082688 Vejl. salgspris afrundet","2 Salgskode","grundpris","13 Salgstype","Debitorprisgruppe","1 Varenr.",$G87,"15 Slutdato",$E$8,"4 Startdato",$E$7),"")</t>
  </si>
  <si>
    <t>=IF($G87&lt;&gt;"",NL("Last","7002 Salgspris","5 Salgspris","2 Salgskode",$D$3,"13 Salgstype","Kampagne","1 Varenr.",$G87),"")</t>
  </si>
  <si>
    <t>=IF($G87&lt;&gt;"",NL("Last","7002 Salgspris","6082688 Vejl. salgspris afrundet","2 Salgskode",$D$3,"13 Salgstype","Kampagne","1 Varenr.",$G87),"")</t>
  </si>
  <si>
    <t>=IFERROR((L87-N87),"")</t>
  </si>
  <si>
    <t>=IF(G109="","Skjul","show")</t>
  </si>
  <si>
    <t>=+C108</t>
  </si>
  <si>
    <t>=IF($D109&lt;&gt;"",NF($D109,"1 Nummer"),"")</t>
  </si>
  <si>
    <t>=IF($D109&lt;&gt;"",NF($D109,"Beskrivelse"),"")&amp;" "&amp;NL(,"Udvidet tekst - linje","Tekst","nummer",$G109)</t>
  </si>
  <si>
    <t>=NL(,"6082571 Informations opsætning","11 Værdi","3 Information kode","MÅLEANTAL","2 Nummer",$G109)&amp;" "&amp;NL(,"6082571 Informations opsætning","14 Beskrivelse","3 Information kode","MÅLEENHED","2 Nummer",$G109)</t>
  </si>
  <si>
    <t>=NL(,"5404 Vareenhed","3 Antal pr. enhed","2 Kode","KOLLI","1 Varenr.",$G109)</t>
  </si>
  <si>
    <t>=NL(,"7002 Salgspris","5 Salgspris","2 Salgskode","grundpris","13 Salgstype","Debitorprisgruppe","1 Varenr.",$G109,"15 Slutdato",$E$8,"4 Startdato",$E$7)</t>
  </si>
  <si>
    <t>=IF($G109&lt;&gt;"",NL(,"7002 Salgspris","6082688 Vejl. salgspris afrundet","2 Salgskode","grundpris","13 Salgstype","Debitorprisgruppe","1 Varenr.",$G109,"15 Slutdato",$E$8,"4 Startdato",$E$7),"")</t>
  </si>
  <si>
    <t>=IF($G109&lt;&gt;"",NL("Last","7002 Salgspris","5 Salgspris","2 Salgskode",$D$3,"13 Salgstype","Kampagne","1 Varenr.",$G109),"")</t>
  </si>
  <si>
    <t>=IF($G109&lt;&gt;"",NL("Last","7002 Salgspris","6082688 Vejl. salgspris afrundet","2 Salgskode",$D$3,"13 Salgstype","Kampagne","1 Varenr.",$G109),"")</t>
  </si>
  <si>
    <t>=IFERROR((L109-N109),"")</t>
  </si>
  <si>
    <t>=IF(G110="","Skjul","show")</t>
  </si>
  <si>
    <t>=+C109</t>
  </si>
  <si>
    <t>=IF($D110&lt;&gt;"",NF($D110,"1 Nummer"),"")</t>
  </si>
  <si>
    <t>=IF($D110&lt;&gt;"",NF($D110,"Beskrivelse"),"")&amp;" "&amp;NL(,"Udvidet tekst - linje","Tekst","nummer",$G110)</t>
  </si>
  <si>
    <t>=NL(,"6082571 Informations opsætning","11 Værdi","3 Information kode","MÅLEANTAL","2 Nummer",$G110)&amp;" "&amp;NL(,"6082571 Informations opsætning","14 Beskrivelse","3 Information kode","MÅLEENHED","2 Nummer",$G110)</t>
  </si>
  <si>
    <t>=NL(,"5404 Vareenhed","3 Antal pr. enhed","2 Kode","KOLLI","1 Varenr.",$G110)</t>
  </si>
  <si>
    <t>=NL(,"7002 Salgspris","5 Salgspris","2 Salgskode","grundpris","13 Salgstype","Debitorprisgruppe","1 Varenr.",$G110,"15 Slutdato",$E$8,"4 Startdato",$E$7)</t>
  </si>
  <si>
    <t>=IF($G110&lt;&gt;"",NL(,"7002 Salgspris","6082688 Vejl. salgspris afrundet","2 Salgskode","grundpris","13 Salgstype","Debitorprisgruppe","1 Varenr.",$G110,"15 Slutdato",$E$8,"4 Startdato",$E$7),"")</t>
  </si>
  <si>
    <t>=IF($G110&lt;&gt;"",NL("Last","7002 Salgspris","5 Salgspris","2 Salgskode",$D$3,"13 Salgstype","Kampagne","1 Varenr.",$G110),"")</t>
  </si>
  <si>
    <t>=IF($G110&lt;&gt;"",NL("Last","7002 Salgspris","6082688 Vejl. salgspris afrundet","2 Salgskode",$D$3,"13 Salgstype","Kampagne","1 Varenr.",$G110),"")</t>
  </si>
  <si>
    <t>=IFERROR((L110-N110),"")</t>
  </si>
  <si>
    <t>=IF(G111="","Skjul","show")</t>
  </si>
  <si>
    <t>=+C110</t>
  </si>
  <si>
    <t>=IF($D111&lt;&gt;"",NF($D111,"1 Nummer"),"")</t>
  </si>
  <si>
    <t>=IF($D111&lt;&gt;"",NF($D111,"Beskrivelse"),"")&amp;" "&amp;NL(,"Udvidet tekst - linje","Tekst","nummer",$G111)</t>
  </si>
  <si>
    <t>=NL(,"6082571 Informations opsætning","11 Værdi","3 Information kode","MÅLEANTAL","2 Nummer",$G111)&amp;" "&amp;NL(,"6082571 Informations opsætning","14 Beskrivelse","3 Information kode","MÅLEENHED","2 Nummer",$G111)</t>
  </si>
  <si>
    <t>=NL(,"5404 Vareenhed","3 Antal pr. enhed","2 Kode","KOLLI","1 Varenr.",$G111)</t>
  </si>
  <si>
    <t>=NL(,"7002 Salgspris","5 Salgspris","2 Salgskode","grundpris","13 Salgstype","Debitorprisgruppe","1 Varenr.",$G111,"15 Slutdato",$E$8,"4 Startdato",$E$7)</t>
  </si>
  <si>
    <t>=IF($G111&lt;&gt;"",NL(,"7002 Salgspris","6082688 Vejl. salgspris afrundet","2 Salgskode","grundpris","13 Salgstype","Debitorprisgruppe","1 Varenr.",$G111,"15 Slutdato",$E$8,"4 Startdato",$E$7),"")</t>
  </si>
  <si>
    <t>=IF($G111&lt;&gt;"",NL("Last","7002 Salgspris","5 Salgspris","2 Salgskode",$D$3,"13 Salgstype","Kampagne","1 Varenr.",$G111),"")</t>
  </si>
  <si>
    <t>=IF($G111&lt;&gt;"",NL("Last","7002 Salgspris","6082688 Vejl. salgspris afrundet","2 Salgskode",$D$3,"13 Salgstype","Kampagne","1 Varenr.",$G111),"")</t>
  </si>
  <si>
    <t>=IFERROR((L111-N111),"")</t>
  </si>
  <si>
    <t>=IF(G113="","Skjul","show")</t>
  </si>
  <si>
    <t>=+C112</t>
  </si>
  <si>
    <t>=IF($D113&lt;&gt;"",NF($D113,"1 Nummer"),"")</t>
  </si>
  <si>
    <t>=IF($D113&lt;&gt;"",NF($D113,"Beskrivelse"),"")&amp;" "&amp;NL(,"Udvidet tekst - linje","Tekst","nummer",$G113)</t>
  </si>
  <si>
    <t>=NL(,"6082571 Informations opsætning","11 Værdi","3 Information kode","MÅLEANTAL","2 Nummer",$G113)&amp;" "&amp;NL(,"6082571 Informations opsætning","14 Beskrivelse","3 Information kode","MÅLEENHED","2 Nummer",$G113)</t>
  </si>
  <si>
    <t>=NL(,"5404 Vareenhed","3 Antal pr. enhed","2 Kode","KOLLI","1 Varenr.",$G113)</t>
  </si>
  <si>
    <t>=NL(,"7002 Salgspris","5 Salgspris","2 Salgskode","grundpris","13 Salgstype","Debitorprisgruppe","1 Varenr.",$G113,"15 Slutdato",$E$8,"4 Startdato",$E$7)</t>
  </si>
  <si>
    <t>=IF($G113&lt;&gt;"",NL(,"7002 Salgspris","6082688 Vejl. salgspris afrundet","2 Salgskode","grundpris","13 Salgstype","Debitorprisgruppe","1 Varenr.",$G113,"15 Slutdato",$E$8,"4 Startdato",$E$7),"")</t>
  </si>
  <si>
    <t>=IF($G113&lt;&gt;"",NL("Last","7002 Salgspris","5 Salgspris","2 Salgskode",$D$3,"13 Salgstype","Kampagne","1 Varenr.",$G113),"")</t>
  </si>
  <si>
    <t>=IF($G113&lt;&gt;"",NL("Last","7002 Salgspris","6082688 Vejl. salgspris afrundet","2 Salgskode",$D$3,"13 Salgstype","Kampagne","1 Varenr.",$G113),"")</t>
  </si>
  <si>
    <t>=IFERROR((L113-N113),"")</t>
  </si>
  <si>
    <t>=IF(G114="","Skjul","show")</t>
  </si>
  <si>
    <t>=+C113</t>
  </si>
  <si>
    <t>=IF($D114&lt;&gt;"",NF($D114,"1 Nummer"),"")</t>
  </si>
  <si>
    <t>=IF($D114&lt;&gt;"",NF($D114,"Beskrivelse"),"")&amp;" "&amp;NL(,"Udvidet tekst - linje","Tekst","nummer",$G114)</t>
  </si>
  <si>
    <t>=NL(,"6082571 Informations opsætning","11 Værdi","3 Information kode","MÅLEANTAL","2 Nummer",$G114)&amp;" "&amp;NL(,"6082571 Informations opsætning","14 Beskrivelse","3 Information kode","MÅLEENHED","2 Nummer",$G114)</t>
  </si>
  <si>
    <t>=NL(,"5404 Vareenhed","3 Antal pr. enhed","2 Kode","KOLLI","1 Varenr.",$G114)</t>
  </si>
  <si>
    <t>=NL(,"7002 Salgspris","5 Salgspris","2 Salgskode","grundpris","13 Salgstype","Debitorprisgruppe","1 Varenr.",$G114,"15 Slutdato",$E$8,"4 Startdato",$E$7)</t>
  </si>
  <si>
    <t>=IF($G114&lt;&gt;"",NL(,"7002 Salgspris","6082688 Vejl. salgspris afrundet","2 Salgskode","grundpris","13 Salgstype","Debitorprisgruppe","1 Varenr.",$G114,"15 Slutdato",$E$8,"4 Startdato",$E$7),"")</t>
  </si>
  <si>
    <t>=IF($G114&lt;&gt;"",NL("Last","7002 Salgspris","5 Salgspris","2 Salgskode",$D$3,"13 Salgstype","Kampagne","1 Varenr.",$G114),"")</t>
  </si>
  <si>
    <t>=IF($G114&lt;&gt;"",NL("Last","7002 Salgspris","6082688 Vejl. salgspris afrundet","2 Salgskode",$D$3,"13 Salgstype","Kampagne","1 Varenr.",$G114),"")</t>
  </si>
  <si>
    <t>=IFERROR((L114-N114),"")</t>
  </si>
  <si>
    <t>=IF(G115="","Skjul","show")</t>
  </si>
  <si>
    <t>=+C114</t>
  </si>
  <si>
    <t>=IF($D115&lt;&gt;"",NF($D115,"1 Nummer"),"")</t>
  </si>
  <si>
    <t>=IF($D115&lt;&gt;"",NF($D115,"Beskrivelse"),"")&amp;" "&amp;NL(,"Udvidet tekst - linje","Tekst","nummer",$G115)</t>
  </si>
  <si>
    <t>=NL(,"6082571 Informations opsætning","11 Værdi","3 Information kode","MÅLEANTAL","2 Nummer",$G115)&amp;" "&amp;NL(,"6082571 Informations opsætning","14 Beskrivelse","3 Information kode","MÅLEENHED","2 Nummer",$G115)</t>
  </si>
  <si>
    <t>=NL(,"5404 Vareenhed","3 Antal pr. enhed","2 Kode","KOLLI","1 Varenr.",$G115)</t>
  </si>
  <si>
    <t>=NL(,"7002 Salgspris","5 Salgspris","2 Salgskode","grundpris","13 Salgstype","Debitorprisgruppe","1 Varenr.",$G115,"15 Slutdato",$E$8,"4 Startdato",$E$7)</t>
  </si>
  <si>
    <t>=IF($G115&lt;&gt;"",NL(,"7002 Salgspris","6082688 Vejl. salgspris afrundet","2 Salgskode","grundpris","13 Salgstype","Debitorprisgruppe","1 Varenr.",$G115,"15 Slutdato",$E$8,"4 Startdato",$E$7),"")</t>
  </si>
  <si>
    <t>=IF($G115&lt;&gt;"",NL("Last","7002 Salgspris","5 Salgspris","2 Salgskode",$D$3,"13 Salgstype","Kampagne","1 Varenr.",$G115),"")</t>
  </si>
  <si>
    <t>=IF($G115&lt;&gt;"",NL("Last","7002 Salgspris","6082688 Vejl. salgspris afrundet","2 Salgskode",$D$3,"13 Salgstype","Kampagne","1 Varenr.",$G115),"")</t>
  </si>
  <si>
    <t>=IFERROR((L115-N115),"")</t>
  </si>
  <si>
    <t>=IF(G151="","Skjul","show")</t>
  </si>
  <si>
    <t>=+C150</t>
  </si>
  <si>
    <t>=IF($D151&lt;&gt;"",NF($D151,"1 Nummer"),"")</t>
  </si>
  <si>
    <t>=IF($D151&lt;&gt;"",NF($D151,"Beskrivelse"),"")&amp;" "&amp;NL(,"Udvidet tekst - linje","Tekst","nummer",$G151)</t>
  </si>
  <si>
    <t>=NL(,"6082571 Informations opsætning","11 Værdi","3 Information kode","MÅLEANTAL","2 Nummer",$G151)&amp;" "&amp;NL(,"6082571 Informations opsætning","14 Beskrivelse","3 Information kode","MÅLEENHED","2 Nummer",$G151)</t>
  </si>
  <si>
    <t>=NL(,"5404 Vareenhed","3 Antal pr. enhed","2 Kode","KOLLI","1 Varenr.",$G151)</t>
  </si>
  <si>
    <t>=NL(,"7002 Salgspris","5 Salgspris","2 Salgskode","grundpris","13 Salgstype","Debitorprisgruppe","1 Varenr.",$G151,"15 Slutdato",$E$8,"4 Startdato",$E$7)</t>
  </si>
  <si>
    <t>=IF($G151&lt;&gt;"",NL(,"7002 Salgspris","6082688 Vejl. salgspris afrundet","2 Salgskode","grundpris","13 Salgstype","Debitorprisgruppe","1 Varenr.",$G151,"15 Slutdato",$E$8,"4 Startdato",$E$7),"")</t>
  </si>
  <si>
    <t>=IF($G151&lt;&gt;"",NL("Last","7002 Salgspris","5 Salgspris","2 Salgskode",$D$3,"13 Salgstype","Kampagne","1 Varenr.",$G151),"")</t>
  </si>
  <si>
    <t>=IF($G151&lt;&gt;"",NL("Last","7002 Salgspris","6082688 Vejl. salgspris afrundet","2 Salgskode",$D$3,"13 Salgstype","Kampagne","1 Varenr.",$G151),"")</t>
  </si>
  <si>
    <t>=IFERROR((L151-N151),"")</t>
  </si>
  <si>
    <t>="""NAV"",""Helsam - Drift"",""23"",""1"",""270"""</t>
  </si>
  <si>
    <t>=IF(G29="","Skjul","show")</t>
  </si>
  <si>
    <t>=E28</t>
  </si>
  <si>
    <t>=NF($D28,"1 Nummer")</t>
  </si>
  <si>
    <t>=NF($D28,"2 Navn")</t>
  </si>
  <si>
    <t>=+C28</t>
  </si>
  <si>
    <t>=NL("Rækker","Vare",,"31 Leverandørnr.","@@"&amp;$C29,"54 Spærret","Falsk","+3 Beskrivelse","*","Link=","7002 Salgspris","1 Varenr.","=1 Nummer","2 Salgskode",$D$3,"13 Salgstype","Kampagne","Regnskab=","Helsam - Drift","Datakilde=","NAV")</t>
  </si>
  <si>
    <t>=IF($D29&lt;&gt;"",NF($D29,"1 Nummer"),"")</t>
  </si>
  <si>
    <t>=IF($D29&lt;&gt;"",NF($D29,"Beskrivelse"),"")&amp;" "&amp;NL(,"Udvidet tekst - linje","Tekst","nummer",$G29)</t>
  </si>
  <si>
    <t>=NL(,"6082571 Informations opsætning","11 Værdi","3 Information kode","MÅLEANTAL","2 Nummer",$G29)&amp;" "&amp;NL(,"6082571 Informations opsætning","14 Beskrivelse","3 Information kode","MÅLEENHED","2 Nummer",$G29)</t>
  </si>
  <si>
    <t>=NL(,"5404 Vareenhed","3 Antal pr. enhed","2 Kode","KOLLI","1 Varenr.",$G29)</t>
  </si>
  <si>
    <t>=NL(,"7002 Salgspris","5 Salgspris","2 Salgskode","grundpris","13 Salgstype","Debitorprisgruppe","1 Varenr.",$G29,"15 Slutdato",$E$8,"4 Startdato",$E$7)</t>
  </si>
  <si>
    <t>=IF($G29&lt;&gt;"",NL(,"7002 Salgspris","6082688 Vejl. salgspris afrundet","2 Salgskode","grundpris","13 Salgstype","Debitorprisgruppe","1 Varenr.",$G29,"15 Slutdato",$E$8,"4 Startdato",$E$7),"")</t>
  </si>
  <si>
    <t>=IF($G29&lt;&gt;"",NL("Last","7002 Salgspris","5 Salgspris","2 Salgskode",$D$3,"13 Salgstype","Kampagne","1 Varenr.",$G29),"")</t>
  </si>
  <si>
    <t>=IF($G29&lt;&gt;"",NL("Last","7002 Salgspris","6082688 Vejl. salgspris afrundet","2 Salgskode",$D$3,"13 Salgstype","Kampagne","1 Varenr.",$G29),"")</t>
  </si>
  <si>
    <t>=IFERROR((L29-N29),"")</t>
  </si>
  <si>
    <t>=IF(G30="","Skjul","show")</t>
  </si>
  <si>
    <t>=+C29</t>
  </si>
  <si>
    <t>=IF($D30&lt;&gt;"",NF($D30,"1 Nummer"),"")</t>
  </si>
  <si>
    <t>=IF($D30&lt;&gt;"",NF($D30,"Beskrivelse"),"")&amp;" "&amp;NL(,"Udvidet tekst - linje","Tekst","nummer",$G30)</t>
  </si>
  <si>
    <t>=NL(,"6082571 Informations opsætning","11 Værdi","3 Information kode","MÅLEANTAL","2 Nummer",$G30)&amp;" "&amp;NL(,"6082571 Informations opsætning","14 Beskrivelse","3 Information kode","MÅLEENHED","2 Nummer",$G30)</t>
  </si>
  <si>
    <t>=NL(,"5404 Vareenhed","3 Antal pr. enhed","2 Kode","KOLLI","1 Varenr.",$G30)</t>
  </si>
  <si>
    <t>=NL(,"7002 Salgspris","5 Salgspris","2 Salgskode","grundpris","13 Salgstype","Debitorprisgruppe","1 Varenr.",$G30,"15 Slutdato",$E$8,"4 Startdato",$E$7)</t>
  </si>
  <si>
    <t>=IF($G30&lt;&gt;"",NL(,"7002 Salgspris","6082688 Vejl. salgspris afrundet","2 Salgskode","grundpris","13 Salgstype","Debitorprisgruppe","1 Varenr.",$G30,"15 Slutdato",$E$8,"4 Startdato",$E$7),"")</t>
  </si>
  <si>
    <t>=IF($G30&lt;&gt;"",NL("Last","7002 Salgspris","5 Salgspris","2 Salgskode",$D$3,"13 Salgstype","Kampagne","1 Varenr.",$G30),"")</t>
  </si>
  <si>
    <t>=IF($G30&lt;&gt;"",NL("Last","7002 Salgspris","6082688 Vejl. salgspris afrundet","2 Salgskode",$D$3,"13 Salgstype","Kampagne","1 Varenr.",$G30),"")</t>
  </si>
  <si>
    <t>=IFERROR((L30-N30),"")</t>
  </si>
  <si>
    <t>=IF(G31="","Skjul","show")</t>
  </si>
  <si>
    <t>=+C30</t>
  </si>
  <si>
    <t>=IF($D31&lt;&gt;"",NF($D31,"1 Nummer"),"")</t>
  </si>
  <si>
    <t>=IF($D31&lt;&gt;"",NF($D31,"Beskrivelse"),"")&amp;" "&amp;NL(,"Udvidet tekst - linje","Tekst","nummer",$G31)</t>
  </si>
  <si>
    <t>=NL(,"6082571 Informations opsætning","11 Værdi","3 Information kode","MÅLEANTAL","2 Nummer",$G31)&amp;" "&amp;NL(,"6082571 Informations opsætning","14 Beskrivelse","3 Information kode","MÅLEENHED","2 Nummer",$G31)</t>
  </si>
  <si>
    <t>=NL(,"5404 Vareenhed","3 Antal pr. enhed","2 Kode","KOLLI","1 Varenr.",$G31)</t>
  </si>
  <si>
    <t>=NL(,"7002 Salgspris","5 Salgspris","2 Salgskode","grundpris","13 Salgstype","Debitorprisgruppe","1 Varenr.",$G31,"15 Slutdato",$E$8,"4 Startdato",$E$7)</t>
  </si>
  <si>
    <t>=IF($G31&lt;&gt;"",NL(,"7002 Salgspris","6082688 Vejl. salgspris afrundet","2 Salgskode","grundpris","13 Salgstype","Debitorprisgruppe","1 Varenr.",$G31,"15 Slutdato",$E$8,"4 Startdato",$E$7),"")</t>
  </si>
  <si>
    <t>=IF($G31&lt;&gt;"",NL("Last","7002 Salgspris","5 Salgspris","2 Salgskode",$D$3,"13 Salgstype","Kampagne","1 Varenr.",$G31),"")</t>
  </si>
  <si>
    <t>=IF($G31&lt;&gt;"",NL("Last","7002 Salgspris","6082688 Vejl. salgspris afrundet","2 Salgskode",$D$3,"13 Salgstype","Kampagne","1 Varenr.",$G31),"")</t>
  </si>
  <si>
    <t>=IFERROR((L31-N31),"")</t>
  </si>
  <si>
    <t>=IF(G43="","Skjul","show")</t>
  </si>
  <si>
    <t>=+C42</t>
  </si>
  <si>
    <t>=IF($D43&lt;&gt;"",NF($D43,"1 Nummer"),"")</t>
  </si>
  <si>
    <t>=IF($D43&lt;&gt;"",NF($D43,"Beskrivelse"),"")&amp;" "&amp;NL(,"Udvidet tekst - linje","Tekst","nummer",$G43)</t>
  </si>
  <si>
    <t>=NL(,"6082571 Informations opsætning","11 Værdi","3 Information kode","MÅLEANTAL","2 Nummer",$G43)&amp;" "&amp;NL(,"6082571 Informations opsætning","14 Beskrivelse","3 Information kode","MÅLEENHED","2 Nummer",$G43)</t>
  </si>
  <si>
    <t>=NL(,"5404 Vareenhed","3 Antal pr. enhed","2 Kode","KOLLI","1 Varenr.",$G43)</t>
  </si>
  <si>
    <t>=NL(,"7002 Salgspris","5 Salgspris","2 Salgskode","grundpris","13 Salgstype","Debitorprisgruppe","1 Varenr.",$G43,"15 Slutdato",$E$8,"4 Startdato",$E$7)</t>
  </si>
  <si>
    <t>=IF($G43&lt;&gt;"",NL(,"7002 Salgspris","6082688 Vejl. salgspris afrundet","2 Salgskode","grundpris","13 Salgstype","Debitorprisgruppe","1 Varenr.",$G43,"15 Slutdato",$E$8,"4 Startdato",$E$7),"")</t>
  </si>
  <si>
    <t>=IF($G43&lt;&gt;"",NL("Last","7002 Salgspris","5 Salgspris","2 Salgskode",$D$3,"13 Salgstype","Kampagne","1 Varenr.",$G43),"")</t>
  </si>
  <si>
    <t>=IF($G43&lt;&gt;"",NL("Last","7002 Salgspris","6082688 Vejl. salgspris afrundet","2 Salgskode",$D$3,"13 Salgstype","Kampagne","1 Varenr.",$G43),"")</t>
  </si>
  <si>
    <t>=IFERROR((L43-N43),"")</t>
  </si>
  <si>
    <t>=IF(G62="","Skjul","show")</t>
  </si>
  <si>
    <t>=+C61</t>
  </si>
  <si>
    <t>=IF($D62&lt;&gt;"",NF($D62,"1 Nummer"),"")</t>
  </si>
  <si>
    <t>=IF($D62&lt;&gt;"",NF($D62,"Beskrivelse"),"")&amp;" "&amp;NL(,"Udvidet tekst - linje","Tekst","nummer",$G62)</t>
  </si>
  <si>
    <t>=NL(,"6082571 Informations opsætning","11 Værdi","3 Information kode","MÅLEANTAL","2 Nummer",$G62)&amp;" "&amp;NL(,"6082571 Informations opsætning","14 Beskrivelse","3 Information kode","MÅLEENHED","2 Nummer",$G62)</t>
  </si>
  <si>
    <t>=NL(,"5404 Vareenhed","3 Antal pr. enhed","2 Kode","KOLLI","1 Varenr.",$G62)</t>
  </si>
  <si>
    <t>=NL(,"7002 Salgspris","5 Salgspris","2 Salgskode","grundpris","13 Salgstype","Debitorprisgruppe","1 Varenr.",$G62,"15 Slutdato",$E$8,"4 Startdato",$E$7)</t>
  </si>
  <si>
    <t>=IF($G62&lt;&gt;"",NL(,"7002 Salgspris","6082688 Vejl. salgspris afrundet","2 Salgskode","grundpris","13 Salgstype","Debitorprisgruppe","1 Varenr.",$G62,"15 Slutdato",$E$8,"4 Startdato",$E$7),"")</t>
  </si>
  <si>
    <t>=IF($G62&lt;&gt;"",NL("Last","7002 Salgspris","5 Salgspris","2 Salgskode",$D$3,"13 Salgstype","Kampagne","1 Varenr.",$G62),"")</t>
  </si>
  <si>
    <t>=IF($G62&lt;&gt;"",NL("Last","7002 Salgspris","6082688 Vejl. salgspris afrundet","2 Salgskode",$D$3,"13 Salgstype","Kampagne","1 Varenr.",$G62),"")</t>
  </si>
  <si>
    <t>=IFERROR((L62-N62),"")</t>
  </si>
  <si>
    <t>=IF(G67="","Skjul","show")</t>
  </si>
  <si>
    <t>=+C66</t>
  </si>
  <si>
    <t>=IF($D67&lt;&gt;"",NF($D67,"1 Nummer"),"")</t>
  </si>
  <si>
    <t>=IF($D67&lt;&gt;"",NF($D67,"Beskrivelse"),"")&amp;" "&amp;NL(,"Udvidet tekst - linje","Tekst","nummer",$G67)</t>
  </si>
  <si>
    <t>=NL(,"6082571 Informations opsætning","11 Værdi","3 Information kode","MÅLEANTAL","2 Nummer",$G67)&amp;" "&amp;NL(,"6082571 Informations opsætning","14 Beskrivelse","3 Information kode","MÅLEENHED","2 Nummer",$G67)</t>
  </si>
  <si>
    <t>=NL(,"5404 Vareenhed","3 Antal pr. enhed","2 Kode","KOLLI","1 Varenr.",$G67)</t>
  </si>
  <si>
    <t>=NL(,"7002 Salgspris","5 Salgspris","2 Salgskode","grundpris","13 Salgstype","Debitorprisgruppe","1 Varenr.",$G67,"15 Slutdato",$E$8,"4 Startdato",$E$7)</t>
  </si>
  <si>
    <t>=IF($G67&lt;&gt;"",NL(,"7002 Salgspris","6082688 Vejl. salgspris afrundet","2 Salgskode","grundpris","13 Salgstype","Debitorprisgruppe","1 Varenr.",$G67,"15 Slutdato",$E$8,"4 Startdato",$E$7),"")</t>
  </si>
  <si>
    <t>=IF($G67&lt;&gt;"",NL("Last","7002 Salgspris","5 Salgspris","2 Salgskode",$D$3,"13 Salgstype","Kampagne","1 Varenr.",$G67),"")</t>
  </si>
  <si>
    <t>=IF($G67&lt;&gt;"",NL("Last","7002 Salgspris","6082688 Vejl. salgspris afrundet","2 Salgskode",$D$3,"13 Salgstype","Kampagne","1 Varenr.",$G67),"")</t>
  </si>
  <si>
    <t>=IFERROR((L67-N67),"")</t>
  </si>
  <si>
    <t>=IF(G68="","Skjul","show")</t>
  </si>
  <si>
    <t>=+C67</t>
  </si>
  <si>
    <t>=IF($D68&lt;&gt;"",NF($D68,"1 Nummer"),"")</t>
  </si>
  <si>
    <t>=IF($D68&lt;&gt;"",NF($D68,"Beskrivelse"),"")&amp;" "&amp;NL(,"Udvidet tekst - linje","Tekst","nummer",$G68)</t>
  </si>
  <si>
    <t>=NL(,"6082571 Informations opsætning","11 Værdi","3 Information kode","MÅLEANTAL","2 Nummer",$G68)&amp;" "&amp;NL(,"6082571 Informations opsætning","14 Beskrivelse","3 Information kode","MÅLEENHED","2 Nummer",$G68)</t>
  </si>
  <si>
    <t>=NL(,"5404 Vareenhed","3 Antal pr. enhed","2 Kode","KOLLI","1 Varenr.",$G68)</t>
  </si>
  <si>
    <t>=NL(,"7002 Salgspris","5 Salgspris","2 Salgskode","grundpris","13 Salgstype","Debitorprisgruppe","1 Varenr.",$G68,"15 Slutdato",$E$8,"4 Startdato",$E$7)</t>
  </si>
  <si>
    <t>=IF($G68&lt;&gt;"",NL(,"7002 Salgspris","6082688 Vejl. salgspris afrundet","2 Salgskode","grundpris","13 Salgstype","Debitorprisgruppe","1 Varenr.",$G68,"15 Slutdato",$E$8,"4 Startdato",$E$7),"")</t>
  </si>
  <si>
    <t>=IF($G68&lt;&gt;"",NL("Last","7002 Salgspris","5 Salgspris","2 Salgskode",$D$3,"13 Salgstype","Kampagne","1 Varenr.",$G68),"")</t>
  </si>
  <si>
    <t>=IF($G68&lt;&gt;"",NL("Last","7002 Salgspris","6082688 Vejl. salgspris afrundet","2 Salgskode",$D$3,"13 Salgstype","Kampagne","1 Varenr.",$G68),"")</t>
  </si>
  <si>
    <t>=IFERROR((L68-N68),"")</t>
  </si>
  <si>
    <t>=IF(G69="","Skjul","show")</t>
  </si>
  <si>
    <t>=+C68</t>
  </si>
  <si>
    <t>=IF($D69&lt;&gt;"",NF($D69,"1 Nummer"),"")</t>
  </si>
  <si>
    <t>=IF($D69&lt;&gt;"",NF($D69,"Beskrivelse"),"")&amp;" "&amp;NL(,"Udvidet tekst - linje","Tekst","nummer",$G69)</t>
  </si>
  <si>
    <t>=NL(,"6082571 Informations opsætning","11 Værdi","3 Information kode","MÅLEANTAL","2 Nummer",$G69)&amp;" "&amp;NL(,"6082571 Informations opsætning","14 Beskrivelse","3 Information kode","MÅLEENHED","2 Nummer",$G69)</t>
  </si>
  <si>
    <t>=NL(,"5404 Vareenhed","3 Antal pr. enhed","2 Kode","KOLLI","1 Varenr.",$G69)</t>
  </si>
  <si>
    <t>=NL(,"7002 Salgspris","5 Salgspris","2 Salgskode","grundpris","13 Salgstype","Debitorprisgruppe","1 Varenr.",$G69,"15 Slutdato",$E$8,"4 Startdato",$E$7)</t>
  </si>
  <si>
    <t>=IF($G69&lt;&gt;"",NL(,"7002 Salgspris","6082688 Vejl. salgspris afrundet","2 Salgskode","grundpris","13 Salgstype","Debitorprisgruppe","1 Varenr.",$G69,"15 Slutdato",$E$8,"4 Startdato",$E$7),"")</t>
  </si>
  <si>
    <t>=IF($G69&lt;&gt;"",NL("Last","7002 Salgspris","5 Salgspris","2 Salgskode",$D$3,"13 Salgstype","Kampagne","1 Varenr.",$G69),"")</t>
  </si>
  <si>
    <t>=IF($G69&lt;&gt;"",NL("Last","7002 Salgspris","6082688 Vejl. salgspris afrundet","2 Salgskode",$D$3,"13 Salgstype","Kampagne","1 Varenr.",$G69),"")</t>
  </si>
  <si>
    <t>=IFERROR((L69-N69),"")</t>
  </si>
  <si>
    <t>=IF(G77="","Skjul","show")</t>
  </si>
  <si>
    <t>=+C76</t>
  </si>
  <si>
    <t>=IF($D77&lt;&gt;"",NF($D77,"1 Nummer"),"")</t>
  </si>
  <si>
    <t>=IF($D77&lt;&gt;"",NF($D77,"Beskrivelse"),"")&amp;" "&amp;NL(,"Udvidet tekst - linje","Tekst","nummer",$G77)</t>
  </si>
  <si>
    <t>=NL(,"6082571 Informations opsætning","11 Værdi","3 Information kode","MÅLEANTAL","2 Nummer",$G77)&amp;" "&amp;NL(,"6082571 Informations opsætning","14 Beskrivelse","3 Information kode","MÅLEENHED","2 Nummer",$G77)</t>
  </si>
  <si>
    <t>=NL(,"5404 Vareenhed","3 Antal pr. enhed","2 Kode","KOLLI","1 Varenr.",$G77)</t>
  </si>
  <si>
    <t>=NL(,"7002 Salgspris","5 Salgspris","2 Salgskode","grundpris","13 Salgstype","Debitorprisgruppe","1 Varenr.",$G77,"15 Slutdato",$E$8,"4 Startdato",$E$7)</t>
  </si>
  <si>
    <t>=IF($G77&lt;&gt;"",NL(,"7002 Salgspris","6082688 Vejl. salgspris afrundet","2 Salgskode","grundpris","13 Salgstype","Debitorprisgruppe","1 Varenr.",$G77,"15 Slutdato",$E$8,"4 Startdato",$E$7),"")</t>
  </si>
  <si>
    <t>=IF($G77&lt;&gt;"",NL("Last","7002 Salgspris","5 Salgspris","2 Salgskode",$D$3,"13 Salgstype","Kampagne","1 Varenr.",$G77),"")</t>
  </si>
  <si>
    <t>=IF($G77&lt;&gt;"",NL("Last","7002 Salgspris","6082688 Vejl. salgspris afrundet","2 Salgskode",$D$3,"13 Salgstype","Kampagne","1 Varenr.",$G77),"")</t>
  </si>
  <si>
    <t>=IFERROR((L77-N77),"")</t>
  </si>
  <si>
    <t>=E100</t>
  </si>
  <si>
    <t>=NF($D100,"1 Nummer")</t>
  </si>
  <si>
    <t>=NF($D100,"2 Navn")</t>
  </si>
  <si>
    <t>=NL("Rækker","Vare",,"31 Leverandørnr.","@@"&amp;$C101,"54 Spærret","Falsk","+3 Beskrivelse","*","Link=","7002 Salgspris","1 Varenr.","=1 Nummer","2 Salgskode",$D$3,"13 Salgstype","Kampagne","Regnskab=","Helsam - Drift","Datakilde=","NAV")</t>
  </si>
  <si>
    <t>=IF(G139="","Skjul","show")</t>
  </si>
  <si>
    <t>=+C138</t>
  </si>
  <si>
    <t>=IF($D139&lt;&gt;"",NF($D139,"1 Nummer"),"")</t>
  </si>
  <si>
    <t>=IF($D139&lt;&gt;"",NF($D139,"Beskrivelse"),"")&amp;" "&amp;NL(,"Udvidet tekst - linje","Tekst","nummer",$G139)</t>
  </si>
  <si>
    <t>=NL(,"6082571 Informations opsætning","11 Værdi","3 Information kode","MÅLEANTAL","2 Nummer",$G139)&amp;" "&amp;NL(,"6082571 Informations opsætning","14 Beskrivelse","3 Information kode","MÅLEENHED","2 Nummer",$G139)</t>
  </si>
  <si>
    <t>=NL(,"5404 Vareenhed","3 Antal pr. enhed","2 Kode","KOLLI","1 Varenr.",$G139)</t>
  </si>
  <si>
    <t>=NL(,"7002 Salgspris","5 Salgspris","2 Salgskode","grundpris","13 Salgstype","Debitorprisgruppe","1 Varenr.",$G139,"15 Slutdato",$E$8,"4 Startdato",$E$7)</t>
  </si>
  <si>
    <t>=IF($G139&lt;&gt;"",NL(,"7002 Salgspris","6082688 Vejl. salgspris afrundet","2 Salgskode","grundpris","13 Salgstype","Debitorprisgruppe","1 Varenr.",$G139,"15 Slutdato",$E$8,"4 Startdato",$E$7),"")</t>
  </si>
  <si>
    <t>=IF($G139&lt;&gt;"",NL("Last","7002 Salgspris","5 Salgspris","2 Salgskode",$D$3,"13 Salgstype","Kampagne","1 Varenr.",$G139),"")</t>
  </si>
  <si>
    <t>=IF($G139&lt;&gt;"",NL("Last","7002 Salgspris","6082688 Vejl. salgspris afrundet","2 Salgskode",$D$3,"13 Salgstype","Kampagne","1 Varenr.",$G139),"")</t>
  </si>
  <si>
    <t>=IFERROR((L139-N139),"")</t>
  </si>
  <si>
    <t>=IF(G140="","Skjul","show")</t>
  </si>
  <si>
    <t>=+C139</t>
  </si>
  <si>
    <t>=IF($D140&lt;&gt;"",NF($D140,"1 Nummer"),"")</t>
  </si>
  <si>
    <t>=IF($D140&lt;&gt;"",NF($D140,"Beskrivelse"),"")&amp;" "&amp;NL(,"Udvidet tekst - linje","Tekst","nummer",$G140)</t>
  </si>
  <si>
    <t>=NL(,"6082571 Informations opsætning","11 Værdi","3 Information kode","MÅLEANTAL","2 Nummer",$G140)&amp;" "&amp;NL(,"6082571 Informations opsætning","14 Beskrivelse","3 Information kode","MÅLEENHED","2 Nummer",$G140)</t>
  </si>
  <si>
    <t>=NL(,"5404 Vareenhed","3 Antal pr. enhed","2 Kode","KOLLI","1 Varenr.",$G140)</t>
  </si>
  <si>
    <t>=NL(,"7002 Salgspris","5 Salgspris","2 Salgskode","grundpris","13 Salgstype","Debitorprisgruppe","1 Varenr.",$G140,"15 Slutdato",$E$8,"4 Startdato",$E$7)</t>
  </si>
  <si>
    <t>=IF($G140&lt;&gt;"",NL(,"7002 Salgspris","6082688 Vejl. salgspris afrundet","2 Salgskode","grundpris","13 Salgstype","Debitorprisgruppe","1 Varenr.",$G140,"15 Slutdato",$E$8,"4 Startdato",$E$7),"")</t>
  </si>
  <si>
    <t>=IF($G140&lt;&gt;"",NL("Last","7002 Salgspris","5 Salgspris","2 Salgskode",$D$3,"13 Salgstype","Kampagne","1 Varenr.",$G140),"")</t>
  </si>
  <si>
    <t>=IF($G140&lt;&gt;"",NL("Last","7002 Salgspris","6082688 Vejl. salgspris afrundet","2 Salgskode",$D$3,"13 Salgstype","Kampagne","1 Varenr.",$G140),"")</t>
  </si>
  <si>
    <t>=IFERROR((L140-N140),"")</t>
  </si>
  <si>
    <t>=IF(G144="","Skjul","show")</t>
  </si>
  <si>
    <t>=+C143</t>
  </si>
  <si>
    <t>=IF($D144&lt;&gt;"",NF($D144,"1 Nummer"),"")</t>
  </si>
  <si>
    <t>=IF($D144&lt;&gt;"",NF($D144,"Beskrivelse"),"")&amp;" "&amp;NL(,"Udvidet tekst - linje","Tekst","nummer",$G144)</t>
  </si>
  <si>
    <t>=NL(,"6082571 Informations opsætning","11 Værdi","3 Information kode","MÅLEANTAL","2 Nummer",$G144)&amp;" "&amp;NL(,"6082571 Informations opsætning","14 Beskrivelse","3 Information kode","MÅLEENHED","2 Nummer",$G144)</t>
  </si>
  <si>
    <t>=NL(,"5404 Vareenhed","3 Antal pr. enhed","2 Kode","KOLLI","1 Varenr.",$G144)</t>
  </si>
  <si>
    <t>=NL(,"7002 Salgspris","5 Salgspris","2 Salgskode","grundpris","13 Salgstype","Debitorprisgruppe","1 Varenr.",$G144,"15 Slutdato",$E$8,"4 Startdato",$E$7)</t>
  </si>
  <si>
    <t>=IF($G144&lt;&gt;"",NL(,"7002 Salgspris","6082688 Vejl. salgspris afrundet","2 Salgskode","grundpris","13 Salgstype","Debitorprisgruppe","1 Varenr.",$G144,"15 Slutdato",$E$8,"4 Startdato",$E$7),"")</t>
  </si>
  <si>
    <t>=IF($G144&lt;&gt;"",NL("Last","7002 Salgspris","5 Salgspris","2 Salgskode",$D$3,"13 Salgstype","Kampagne","1 Varenr.",$G144),"")</t>
  </si>
  <si>
    <t>=IF($G144&lt;&gt;"",NL("Last","7002 Salgspris","6082688 Vejl. salgspris afrundet","2 Salgskode",$D$3,"13 Salgstype","Kampagne","1 Varenr.",$G144),"")</t>
  </si>
  <si>
    <t>=IFERROR((L144-N144),"")</t>
  </si>
  <si>
    <t>=IF(G145="","Skjul","show")</t>
  </si>
  <si>
    <t>=+C144</t>
  </si>
  <si>
    <t>=IF($D145&lt;&gt;"",NF($D145,"1 Nummer"),"")</t>
  </si>
  <si>
    <t>=IF($D145&lt;&gt;"",NF($D145,"Beskrivelse"),"")&amp;" "&amp;NL(,"Udvidet tekst - linje","Tekst","nummer",$G145)</t>
  </si>
  <si>
    <t>=NL(,"6082571 Informations opsætning","11 Værdi","3 Information kode","MÅLEANTAL","2 Nummer",$G145)&amp;" "&amp;NL(,"6082571 Informations opsætning","14 Beskrivelse","3 Information kode","MÅLEENHED","2 Nummer",$G145)</t>
  </si>
  <si>
    <t>=NL(,"5404 Vareenhed","3 Antal pr. enhed","2 Kode","KOLLI","1 Varenr.",$G145)</t>
  </si>
  <si>
    <t>=NL(,"7002 Salgspris","5 Salgspris","2 Salgskode","grundpris","13 Salgstype","Debitorprisgruppe","1 Varenr.",$G145,"15 Slutdato",$E$8,"4 Startdato",$E$7)</t>
  </si>
  <si>
    <t>=IF($G145&lt;&gt;"",NL(,"7002 Salgspris","6082688 Vejl. salgspris afrundet","2 Salgskode","grundpris","13 Salgstype","Debitorprisgruppe","1 Varenr.",$G145,"15 Slutdato",$E$8,"4 Startdato",$E$7),"")</t>
  </si>
  <si>
    <t>=IF($G145&lt;&gt;"",NL("Last","7002 Salgspris","5 Salgspris","2 Salgskode",$D$3,"13 Salgstype","Kampagne","1 Varenr.",$G145),"")</t>
  </si>
  <si>
    <t>=IF($G145&lt;&gt;"",NL("Last","7002 Salgspris","6082688 Vejl. salgspris afrundet","2 Salgskode",$D$3,"13 Salgstype","Kampagne","1 Varenr.",$G145),"")</t>
  </si>
  <si>
    <t>=IFERROR((L145-N145),"")</t>
  </si>
  <si>
    <t>=IF(G148="","Skjul","show")</t>
  </si>
  <si>
    <t>=+C147</t>
  </si>
  <si>
    <t>=IF($D148&lt;&gt;"",NF($D148,"1 Nummer"),"")</t>
  </si>
  <si>
    <t>=IF($D148&lt;&gt;"",NF($D148,"Beskrivelse"),"")&amp;" "&amp;NL(,"Udvidet tekst - linje","Tekst","nummer",$G148)</t>
  </si>
  <si>
    <t>=NL(,"6082571 Informations opsætning","11 Værdi","3 Information kode","MÅLEANTAL","2 Nummer",$G148)&amp;" "&amp;NL(,"6082571 Informations opsætning","14 Beskrivelse","3 Information kode","MÅLEENHED","2 Nummer",$G148)</t>
  </si>
  <si>
    <t>=NL(,"5404 Vareenhed","3 Antal pr. enhed","2 Kode","KOLLI","1 Varenr.",$G148)</t>
  </si>
  <si>
    <t>=NL(,"7002 Salgspris","5 Salgspris","2 Salgskode","grundpris","13 Salgstype","Debitorprisgruppe","1 Varenr.",$G148,"15 Slutdato",$E$8,"4 Startdato",$E$7)</t>
  </si>
  <si>
    <t>=IF($G148&lt;&gt;"",NL(,"7002 Salgspris","6082688 Vejl. salgspris afrundet","2 Salgskode","grundpris","13 Salgstype","Debitorprisgruppe","1 Varenr.",$G148,"15 Slutdato",$E$8,"4 Startdato",$E$7),"")</t>
  </si>
  <si>
    <t>=IF($G148&lt;&gt;"",NL("Last","7002 Salgspris","5 Salgspris","2 Salgskode",$D$3,"13 Salgstype","Kampagne","1 Varenr.",$G148),"")</t>
  </si>
  <si>
    <t>=IF($G148&lt;&gt;"",NL("Last","7002 Salgspris","6082688 Vejl. salgspris afrundet","2 Salgskode",$D$3,"13 Salgstype","Kampagne","1 Varenr.",$G148),"")</t>
  </si>
  <si>
    <t>=IFERROR((L148-N148),"")</t>
  </si>
  <si>
    <t>=IF(G149="","Skjul","show")</t>
  </si>
  <si>
    <t>=+C148</t>
  </si>
  <si>
    <t>=IF($D149&lt;&gt;"",NF($D149,"1 Nummer"),"")</t>
  </si>
  <si>
    <t>=IF($D149&lt;&gt;"",NF($D149,"Beskrivelse"),"")&amp;" "&amp;NL(,"Udvidet tekst - linje","Tekst","nummer",$G149)</t>
  </si>
  <si>
    <t>=NL(,"6082571 Informations opsætning","11 Værdi","3 Information kode","MÅLEANTAL","2 Nummer",$G149)&amp;" "&amp;NL(,"6082571 Informations opsætning","14 Beskrivelse","3 Information kode","MÅLEENHED","2 Nummer",$G149)</t>
  </si>
  <si>
    <t>=NL(,"5404 Vareenhed","3 Antal pr. enhed","2 Kode","KOLLI","1 Varenr.",$G149)</t>
  </si>
  <si>
    <t>=NL(,"7002 Salgspris","5 Salgspris","2 Salgskode","grundpris","13 Salgstype","Debitorprisgruppe","1 Varenr.",$G149,"15 Slutdato",$E$8,"4 Startdato",$E$7)</t>
  </si>
  <si>
    <t>=IF($G149&lt;&gt;"",NL(,"7002 Salgspris","6082688 Vejl. salgspris afrundet","2 Salgskode","grundpris","13 Salgstype","Debitorprisgruppe","1 Varenr.",$G149,"15 Slutdato",$E$8,"4 Startdato",$E$7),"")</t>
  </si>
  <si>
    <t>=IF($G149&lt;&gt;"",NL("Last","7002 Salgspris","5 Salgspris","2 Salgskode",$D$3,"13 Salgstype","Kampagne","1 Varenr.",$G149),"")</t>
  </si>
  <si>
    <t>=IF($G149&lt;&gt;"",NL("Last","7002 Salgspris","6082688 Vejl. salgspris afrundet","2 Salgskode",$D$3,"13 Salgstype","Kampagne","1 Varenr.",$G149),"")</t>
  </si>
  <si>
    <t>=IFERROR((L149-N149),"")</t>
  </si>
  <si>
    <t>=IF(G150="","Skjul","show")</t>
  </si>
  <si>
    <t>=+C149</t>
  </si>
  <si>
    <t>=IF($D150&lt;&gt;"",NF($D150,"1 Nummer"),"")</t>
  </si>
  <si>
    <t>=IF($D150&lt;&gt;"",NF($D150,"Beskrivelse"),"")&amp;" "&amp;NL(,"Udvidet tekst - linje","Tekst","nummer",$G150)</t>
  </si>
  <si>
    <t>=NL(,"6082571 Informations opsætning","11 Værdi","3 Information kode","MÅLEANTAL","2 Nummer",$G150)&amp;" "&amp;NL(,"6082571 Informations opsætning","14 Beskrivelse","3 Information kode","MÅLEENHED","2 Nummer",$G150)</t>
  </si>
  <si>
    <t>=NL(,"5404 Vareenhed","3 Antal pr. enhed","2 Kode","KOLLI","1 Varenr.",$G150)</t>
  </si>
  <si>
    <t>=NL(,"7002 Salgspris","5 Salgspris","2 Salgskode","grundpris","13 Salgstype","Debitorprisgruppe","1 Varenr.",$G150,"15 Slutdato",$E$8,"4 Startdato",$E$7)</t>
  </si>
  <si>
    <t>=IF($G150&lt;&gt;"",NL(,"7002 Salgspris","6082688 Vejl. salgspris afrundet","2 Salgskode","grundpris","13 Salgstype","Debitorprisgruppe","1 Varenr.",$G150,"15 Slutdato",$E$8,"4 Startdato",$E$7),"")</t>
  </si>
  <si>
    <t>=IF($G150&lt;&gt;"",NL("Last","7002 Salgspris","5 Salgspris","2 Salgskode",$D$3,"13 Salgstype","Kampagne","1 Varenr.",$G150),"")</t>
  </si>
  <si>
    <t>=IF($G150&lt;&gt;"",NL("Last","7002 Salgspris","6082688 Vejl. salgspris afrundet","2 Salgskode",$D$3,"13 Salgstype","Kampagne","1 Varenr.",$G150),"")</t>
  </si>
  <si>
    <t>=IFERROR((L150-N150),"")</t>
  </si>
  <si>
    <t>="""NAV"",""Helsam - Drift"",""27"",""1"",""9254"""</t>
  </si>
  <si>
    <t>="""NAV"",""Helsam - Drift"",""23"",""1"",""006"""</t>
  </si>
  <si>
    <t>="""NAV"",""Helsam - Drift"",""23"",""1"",""005"""</t>
  </si>
  <si>
    <t>24H MARTS 22</t>
  </si>
  <si>
    <t>="24H MARTS 22"</t>
  </si>
  <si>
    <t>Auto+Skjul+Værdier+Formulas=Ark5,Ark3,Ark4</t>
  </si>
  <si>
    <t>="""NAV"",""Helsam - Drift"",""27"",""1"",""23261"""</t>
  </si>
  <si>
    <t>="""NAV"",""Helsam - Drift"",""27"",""1"",""51529"""</t>
  </si>
  <si>
    <t>="""NAV"",""Helsam - Drift"",""27"",""1"",""20416"""</t>
  </si>
  <si>
    <t>="""NAV"",""Helsam - Drift"",""27"",""1"",""23086"""</t>
  </si>
  <si>
    <t>="""NAV"",""Helsam - Drift"",""27"",""1"",""20415"""</t>
  </si>
  <si>
    <t>="""NAV"",""Helsam - Drift"",""27"",""1"",""23260"""</t>
  </si>
  <si>
    <t>="""NAV"",""Helsam - Drift"",""27"",""1"",""20417"""</t>
  </si>
  <si>
    <t>="""NAV"",""Helsam - Drift"",""27"",""1"",""23083"""</t>
  </si>
  <si>
    <t>="""NAV"",""Helsam - Drift"",""27"",""1"",""23085"""</t>
  </si>
  <si>
    <t>="""NAV"",""Helsam - Drift"",""27"",""1"",""23258"""</t>
  </si>
  <si>
    <t>="""NAV"",""Helsam - Drift"",""27"",""1"",""20411"""</t>
  </si>
  <si>
    <t>="""NAV"",""Helsam - Drift"",""27"",""1"",""20410"""</t>
  </si>
  <si>
    <t>="""NAV"",""Helsam - Drift"",""27"",""1"",""20412"""</t>
  </si>
  <si>
    <t>="""NAV"",""Helsam - Drift"",""27"",""1"",""20414"""</t>
  </si>
  <si>
    <t>=IF(G44="","Skjul","show")</t>
  </si>
  <si>
    <t>=+C43</t>
  </si>
  <si>
    <t>="""NAV"",""Helsam - Drift"",""27"",""1"",""20413"""</t>
  </si>
  <si>
    <t>=IF($D44&lt;&gt;"",NF($D44,"1 Nummer"),"")</t>
  </si>
  <si>
    <t>=IF($D44&lt;&gt;"",NF($D44,"Beskrivelse"),"")&amp;" "&amp;NL(,"Udvidet tekst - linje","Tekst","nummer",$G44)</t>
  </si>
  <si>
    <t>=NL(,"6082571 Informations opsætning","11 Værdi","3 Information kode","MÅLEANTAL","2 Nummer",$G44)&amp;" "&amp;NL(,"6082571 Informations opsætning","14 Beskrivelse","3 Information kode","MÅLEENHED","2 Nummer",$G44)</t>
  </si>
  <si>
    <t>=NL(,"5404 Vareenhed","3 Antal pr. enhed","2 Kode","KOLLI","1 Varenr.",$G44)</t>
  </si>
  <si>
    <t>=NL(,"7002 Salgspris","5 Salgspris","2 Salgskode","grundpris","13 Salgstype","Debitorprisgruppe","1 Varenr.",$G44,"15 Slutdato",$E$8,"4 Startdato",$E$7)</t>
  </si>
  <si>
    <t>=IF($G44&lt;&gt;"",NL(,"7002 Salgspris","6082688 Vejl. salgspris afrundet","2 Salgskode","grundpris","13 Salgstype","Debitorprisgruppe","1 Varenr.",$G44,"15 Slutdato",$E$8,"4 Startdato",$E$7),"")</t>
  </si>
  <si>
    <t>=IF($G44&lt;&gt;"",NL("Last","7002 Salgspris","5 Salgspris","2 Salgskode",$D$3,"13 Salgstype","Kampagne","1 Varenr.",$G44),"")</t>
  </si>
  <si>
    <t>=IF($G44&lt;&gt;"",NL("Last","7002 Salgspris","6082688 Vejl. salgspris afrundet","2 Salgskode",$D$3,"13 Salgstype","Kampagne","1 Varenr.",$G44),"")</t>
  </si>
  <si>
    <t>=IFERROR((L44-N44),"")</t>
  </si>
  <si>
    <t>=IF(G45="","Skjul","show")</t>
  </si>
  <si>
    <t>=+C44</t>
  </si>
  <si>
    <t>="""NAV"",""Helsam - Drift"",""27"",""1"",""23084"""</t>
  </si>
  <si>
    <t>=IF($D45&lt;&gt;"",NF($D45,"1 Nummer"),"")</t>
  </si>
  <si>
    <t>=IF($D45&lt;&gt;"",NF($D45,"Beskrivelse"),"")&amp;" "&amp;NL(,"Udvidet tekst - linje","Tekst","nummer",$G45)</t>
  </si>
  <si>
    <t>=NL(,"6082571 Informations opsætning","11 Værdi","3 Information kode","MÅLEANTAL","2 Nummer",$G45)&amp;" "&amp;NL(,"6082571 Informations opsætning","14 Beskrivelse","3 Information kode","MÅLEENHED","2 Nummer",$G45)</t>
  </si>
  <si>
    <t>=NL(,"5404 Vareenhed","3 Antal pr. enhed","2 Kode","KOLLI","1 Varenr.",$G45)</t>
  </si>
  <si>
    <t>=NL(,"7002 Salgspris","5 Salgspris","2 Salgskode","grundpris","13 Salgstype","Debitorprisgruppe","1 Varenr.",$G45,"15 Slutdato",$E$8,"4 Startdato",$E$7)</t>
  </si>
  <si>
    <t>=IF($G45&lt;&gt;"",NL(,"7002 Salgspris","6082688 Vejl. salgspris afrundet","2 Salgskode","grundpris","13 Salgstype","Debitorprisgruppe","1 Varenr.",$G45,"15 Slutdato",$E$8,"4 Startdato",$E$7),"")</t>
  </si>
  <si>
    <t>=IF($G45&lt;&gt;"",NL("Last","7002 Salgspris","5 Salgspris","2 Salgskode",$D$3,"13 Salgstype","Kampagne","1 Varenr.",$G45),"")</t>
  </si>
  <si>
    <t>=IF($G45&lt;&gt;"",NL("Last","7002 Salgspris","6082688 Vejl. salgspris afrundet","2 Salgskode",$D$3,"13 Salgstype","Kampagne","1 Varenr.",$G45),"")</t>
  </si>
  <si>
    <t>=IFERROR((L45-N45),"")</t>
  </si>
  <si>
    <t>=IF(G49="","Skjul","show")</t>
  </si>
  <si>
    <t>=E48</t>
  </si>
  <si>
    <t>="""NAV"",""Helsam - Drift"",""23"",""1"",""590"""</t>
  </si>
  <si>
    <t>=NF($D48,"1 Nummer")</t>
  </si>
  <si>
    <t>=NF($D48,"2 Navn")</t>
  </si>
  <si>
    <t>=+C48</t>
  </si>
  <si>
    <t>=NL("Rækker","Vare",,"31 Leverandørnr.","@@"&amp;$C49,"54 Spærret","Falsk","+3 Beskrivelse","*","Link=","7002 Salgspris","1 Varenr.","=1 Nummer","2 Salgskode",$D$3,"13 Salgstype","Kampagne","Regnskab=","Helsam - Drift","Datakilde=","NAV")</t>
  </si>
  <si>
    <t>=IF($D49&lt;&gt;"",NF($D49,"1 Nummer"),"")</t>
  </si>
  <si>
    <t>=IF($D49&lt;&gt;"",NF($D49,"Beskrivelse"),"")&amp;" "&amp;NL(,"Udvidet tekst - linje","Tekst","nummer",$G49)</t>
  </si>
  <si>
    <t>=NL(,"6082571 Informations opsætning","11 Værdi","3 Information kode","MÅLEANTAL","2 Nummer",$G49)&amp;" "&amp;NL(,"6082571 Informations opsætning","14 Beskrivelse","3 Information kode","MÅLEENHED","2 Nummer",$G49)</t>
  </si>
  <si>
    <t>=NL(,"5404 Vareenhed","3 Antal pr. enhed","2 Kode","KOLLI","1 Varenr.",$G49)</t>
  </si>
  <si>
    <t>=NL(,"7002 Salgspris","5 Salgspris","2 Salgskode","grundpris","13 Salgstype","Debitorprisgruppe","1 Varenr.",$G49,"15 Slutdato",$E$8,"4 Startdato",$E$7)</t>
  </si>
  <si>
    <t>=IF($G49&lt;&gt;"",NL(,"7002 Salgspris","6082688 Vejl. salgspris afrundet","2 Salgskode","grundpris","13 Salgstype","Debitorprisgruppe","1 Varenr.",$G49,"15 Slutdato",$E$8,"4 Startdato",$E$7),"")</t>
  </si>
  <si>
    <t>=IF($G49&lt;&gt;"",NL("Last","7002 Salgspris","5 Salgspris","2 Salgskode",$D$3,"13 Salgstype","Kampagne","1 Varenr.",$G49),"")</t>
  </si>
  <si>
    <t>=IF($G49&lt;&gt;"",NL("Last","7002 Salgspris","6082688 Vejl. salgspris afrundet","2 Salgskode",$D$3,"13 Salgstype","Kampagne","1 Varenr.",$G49),"")</t>
  </si>
  <si>
    <t>=IFERROR((L49-N49),"")</t>
  </si>
  <si>
    <t>=IF(G50="","Skjul","show")</t>
  </si>
  <si>
    <t>=+C49</t>
  </si>
  <si>
    <t>="""NAV"",""Helsam - Drift"",""27"",""1"",""51612"""</t>
  </si>
  <si>
    <t>=IF($D50&lt;&gt;"",NF($D50,"1 Nummer"),"")</t>
  </si>
  <si>
    <t>=IF($D50&lt;&gt;"",NF($D50,"Beskrivelse"),"")&amp;" "&amp;NL(,"Udvidet tekst - linje","Tekst","nummer",$G50)</t>
  </si>
  <si>
    <t>=NL(,"6082571 Informations opsætning","11 Værdi","3 Information kode","MÅLEANTAL","2 Nummer",$G50)&amp;" "&amp;NL(,"6082571 Informations opsætning","14 Beskrivelse","3 Information kode","MÅLEENHED","2 Nummer",$G50)</t>
  </si>
  <si>
    <t>=NL(,"5404 Vareenhed","3 Antal pr. enhed","2 Kode","KOLLI","1 Varenr.",$G50)</t>
  </si>
  <si>
    <t>=NL(,"7002 Salgspris","5 Salgspris","2 Salgskode","grundpris","13 Salgstype","Debitorprisgruppe","1 Varenr.",$G50,"15 Slutdato",$E$8,"4 Startdato",$E$7)</t>
  </si>
  <si>
    <t>=IF($G50&lt;&gt;"",NL(,"7002 Salgspris","6082688 Vejl. salgspris afrundet","2 Salgskode","grundpris","13 Salgstype","Debitorprisgruppe","1 Varenr.",$G50,"15 Slutdato",$E$8,"4 Startdato",$E$7),"")</t>
  </si>
  <si>
    <t>=IF($G50&lt;&gt;"",NL("Last","7002 Salgspris","5 Salgspris","2 Salgskode",$D$3,"13 Salgstype","Kampagne","1 Varenr.",$G50),"")</t>
  </si>
  <si>
    <t>=IF($G50&lt;&gt;"",NL("Last","7002 Salgspris","6082688 Vejl. salgspris afrundet","2 Salgskode",$D$3,"13 Salgstype","Kampagne","1 Varenr.",$G50),"")</t>
  </si>
  <si>
    <t>=IFERROR((L50-N50),"")</t>
  </si>
  <si>
    <t>="""NAV"",""Helsam - Drift"",""27"",""1"",""51613"""</t>
  </si>
  <si>
    <t>=E54</t>
  </si>
  <si>
    <t>=NF($D54,"1 Nummer")</t>
  </si>
  <si>
    <t>=NF($D54,"2 Navn")</t>
  </si>
  <si>
    <t>=NL("Rækker","Vare",,"31 Leverandørnr.","@@"&amp;$C55,"54 Spærret","Falsk","+3 Beskrivelse","*","Link=","7002 Salgspris","1 Varenr.","=1 Nummer","2 Salgskode",$D$3,"13 Salgstype","Kampagne","Regnskab=","Helsam - Drift","Datakilde=","NAV")</t>
  </si>
  <si>
    <t>="""NAV"",""Helsam - Drift"",""27"",""1"",""21126"""</t>
  </si>
  <si>
    <t>="""NAV"",""Helsam - Drift"",""27"",""1"",""51089"""</t>
  </si>
  <si>
    <t>="""NAV"",""Helsam - Drift"",""27"",""1"",""27482"""</t>
  </si>
  <si>
    <t>=IF(G59="","Skjul","show")</t>
  </si>
  <si>
    <t>=+C58</t>
  </si>
  <si>
    <t>="""NAV"",""Helsam - Drift"",""27"",""1"",""51087"""</t>
  </si>
  <si>
    <t>=IF($D59&lt;&gt;"",NF($D59,"1 Nummer"),"")</t>
  </si>
  <si>
    <t>=IF($D59&lt;&gt;"",NF($D59,"Beskrivelse"),"")&amp;" "&amp;NL(,"Udvidet tekst - linje","Tekst","nummer",$G59)</t>
  </si>
  <si>
    <t>=NL(,"6082571 Informations opsætning","11 Værdi","3 Information kode","MÅLEANTAL","2 Nummer",$G59)&amp;" "&amp;NL(,"6082571 Informations opsætning","14 Beskrivelse","3 Information kode","MÅLEENHED","2 Nummer",$G59)</t>
  </si>
  <si>
    <t>=NL(,"5404 Vareenhed","3 Antal pr. enhed","2 Kode","KOLLI","1 Varenr.",$G59)</t>
  </si>
  <si>
    <t>=NL(,"7002 Salgspris","5 Salgspris","2 Salgskode","grundpris","13 Salgstype","Debitorprisgruppe","1 Varenr.",$G59,"15 Slutdato",$E$8,"4 Startdato",$E$7)</t>
  </si>
  <si>
    <t>=IF($G59&lt;&gt;"",NL(,"7002 Salgspris","6082688 Vejl. salgspris afrundet","2 Salgskode","grundpris","13 Salgstype","Debitorprisgruppe","1 Varenr.",$G59,"15 Slutdato",$E$8,"4 Startdato",$E$7),"")</t>
  </si>
  <si>
    <t>=IF($G59&lt;&gt;"",NL("Last","7002 Salgspris","5 Salgspris","2 Salgskode",$D$3,"13 Salgstype","Kampagne","1 Varenr.",$G59),"")</t>
  </si>
  <si>
    <t>=IF($G59&lt;&gt;"",NL("Last","7002 Salgspris","6082688 Vejl. salgspris afrundet","2 Salgskode",$D$3,"13 Salgstype","Kampagne","1 Varenr.",$G59),"")</t>
  </si>
  <si>
    <t>=IFERROR((L59-N59),"")</t>
  </si>
  <si>
    <t>=IF(G60="","Skjul","show")</t>
  </si>
  <si>
    <t>=+C59</t>
  </si>
  <si>
    <t>="""NAV"",""Helsam - Drift"",""27"",""1"",""51086"""</t>
  </si>
  <si>
    <t>=IF($D60&lt;&gt;"",NF($D60,"1 Nummer"),"")</t>
  </si>
  <si>
    <t>=IF($D60&lt;&gt;"",NF($D60,"Beskrivelse"),"")&amp;" "&amp;NL(,"Udvidet tekst - linje","Tekst","nummer",$G60)</t>
  </si>
  <si>
    <t>=NL(,"6082571 Informations opsætning","11 Værdi","3 Information kode","MÅLEANTAL","2 Nummer",$G60)&amp;" "&amp;NL(,"6082571 Informations opsætning","14 Beskrivelse","3 Information kode","MÅLEENHED","2 Nummer",$G60)</t>
  </si>
  <si>
    <t>=NL(,"5404 Vareenhed","3 Antal pr. enhed","2 Kode","KOLLI","1 Varenr.",$G60)</t>
  </si>
  <si>
    <t>=NL(,"7002 Salgspris","5 Salgspris","2 Salgskode","grundpris","13 Salgstype","Debitorprisgruppe","1 Varenr.",$G60,"15 Slutdato",$E$8,"4 Startdato",$E$7)</t>
  </si>
  <si>
    <t>=IF($G60&lt;&gt;"",NL(,"7002 Salgspris","6082688 Vejl. salgspris afrundet","2 Salgskode","grundpris","13 Salgstype","Debitorprisgruppe","1 Varenr.",$G60,"15 Slutdato",$E$8,"4 Startdato",$E$7),"")</t>
  </si>
  <si>
    <t>=IF($G60&lt;&gt;"",NL("Last","7002 Salgspris","5 Salgspris","2 Salgskode",$D$3,"13 Salgstype","Kampagne","1 Varenr.",$G60),"")</t>
  </si>
  <si>
    <t>=IF($G60&lt;&gt;"",NL("Last","7002 Salgspris","6082688 Vejl. salgspris afrundet","2 Salgskode",$D$3,"13 Salgstype","Kampagne","1 Varenr.",$G60),"")</t>
  </si>
  <si>
    <t>=IFERROR((L60-N60),"")</t>
  </si>
  <si>
    <t>=IF(G61="","Skjul","show")</t>
  </si>
  <si>
    <t>=+C60</t>
  </si>
  <si>
    <t>="""NAV"",""Helsam - Drift"",""27"",""1"",""51085"""</t>
  </si>
  <si>
    <t>=IF($D61&lt;&gt;"",NF($D61,"1 Nummer"),"")</t>
  </si>
  <si>
    <t>=IF($D61&lt;&gt;"",NF($D61,"Beskrivelse"),"")&amp;" "&amp;NL(,"Udvidet tekst - linje","Tekst","nummer",$G61)</t>
  </si>
  <si>
    <t>=NL(,"6082571 Informations opsætning","11 Værdi","3 Information kode","MÅLEANTAL","2 Nummer",$G61)&amp;" "&amp;NL(,"6082571 Informations opsætning","14 Beskrivelse","3 Information kode","MÅLEENHED","2 Nummer",$G61)</t>
  </si>
  <si>
    <t>=NL(,"5404 Vareenhed","3 Antal pr. enhed","2 Kode","KOLLI","1 Varenr.",$G61)</t>
  </si>
  <si>
    <t>=NL(,"7002 Salgspris","5 Salgspris","2 Salgskode","grundpris","13 Salgstype","Debitorprisgruppe","1 Varenr.",$G61,"15 Slutdato",$E$8,"4 Startdato",$E$7)</t>
  </si>
  <si>
    <t>=IF($G61&lt;&gt;"",NL(,"7002 Salgspris","6082688 Vejl. salgspris afrundet","2 Salgskode","grundpris","13 Salgstype","Debitorprisgruppe","1 Varenr.",$G61,"15 Slutdato",$E$8,"4 Startdato",$E$7),"")</t>
  </si>
  <si>
    <t>=IF($G61&lt;&gt;"",NL("Last","7002 Salgspris","5 Salgspris","2 Salgskode",$D$3,"13 Salgstype","Kampagne","1 Varenr.",$G61),"")</t>
  </si>
  <si>
    <t>=IF($G61&lt;&gt;"",NL("Last","7002 Salgspris","6082688 Vejl. salgspris afrundet","2 Salgskode",$D$3,"13 Salgstype","Kampagne","1 Varenr.",$G61),"")</t>
  </si>
  <si>
    <t>=IFERROR((L61-N61),"")</t>
  </si>
  <si>
    <t>="""NAV"",""Helsam - Drift"",""27"",""1"",""51088"""</t>
  </si>
  <si>
    <t>=IF(G63="","Skjul","show")</t>
  </si>
  <si>
    <t>=+C62</t>
  </si>
  <si>
    <t>="""NAV"",""Helsam - Drift"",""27"",""1"",""51084"""</t>
  </si>
  <si>
    <t>=IF($D63&lt;&gt;"",NF($D63,"1 Nummer"),"")</t>
  </si>
  <si>
    <t>=IF($D63&lt;&gt;"",NF($D63,"Beskrivelse"),"")&amp;" "&amp;NL(,"Udvidet tekst - linje","Tekst","nummer",$G63)</t>
  </si>
  <si>
    <t>=NL(,"6082571 Informations opsætning","11 Værdi","3 Information kode","MÅLEANTAL","2 Nummer",$G63)&amp;" "&amp;NL(,"6082571 Informations opsætning","14 Beskrivelse","3 Information kode","MÅLEENHED","2 Nummer",$G63)</t>
  </si>
  <si>
    <t>=NL(,"5404 Vareenhed","3 Antal pr. enhed","2 Kode","KOLLI","1 Varenr.",$G63)</t>
  </si>
  <si>
    <t>=NL(,"7002 Salgspris","5 Salgspris","2 Salgskode","grundpris","13 Salgstype","Debitorprisgruppe","1 Varenr.",$G63,"15 Slutdato",$E$8,"4 Startdato",$E$7)</t>
  </si>
  <si>
    <t>=IF($G63&lt;&gt;"",NL(,"7002 Salgspris","6082688 Vejl. salgspris afrundet","2 Salgskode","grundpris","13 Salgstype","Debitorprisgruppe","1 Varenr.",$G63,"15 Slutdato",$E$8,"4 Startdato",$E$7),"")</t>
  </si>
  <si>
    <t>=IF($G63&lt;&gt;"",NL("Last","7002 Salgspris","5 Salgspris","2 Salgskode",$D$3,"13 Salgstype","Kampagne","1 Varenr.",$G63),"")</t>
  </si>
  <si>
    <t>=IF($G63&lt;&gt;"",NL("Last","7002 Salgspris","6082688 Vejl. salgspris afrundet","2 Salgskode",$D$3,"13 Salgstype","Kampagne","1 Varenr.",$G63),"")</t>
  </si>
  <si>
    <t>=IFERROR((L63-N63),"")</t>
  </si>
  <si>
    <t>=IF(G64="","Skjul","show")</t>
  </si>
  <si>
    <t>=+C63</t>
  </si>
  <si>
    <t>="""NAV"",""Helsam - Drift"",""27"",""1"",""21544"""</t>
  </si>
  <si>
    <t>=IF($D64&lt;&gt;"",NF($D64,"1 Nummer"),"")</t>
  </si>
  <si>
    <t>=IF($D64&lt;&gt;"",NF($D64,"Beskrivelse"),"")&amp;" "&amp;NL(,"Udvidet tekst - linje","Tekst","nummer",$G64)</t>
  </si>
  <si>
    <t>=NL(,"6082571 Informations opsætning","11 Værdi","3 Information kode","MÅLEANTAL","2 Nummer",$G64)&amp;" "&amp;NL(,"6082571 Informations opsætning","14 Beskrivelse","3 Information kode","MÅLEENHED","2 Nummer",$G64)</t>
  </si>
  <si>
    <t>=NL(,"5404 Vareenhed","3 Antal pr. enhed","2 Kode","KOLLI","1 Varenr.",$G64)</t>
  </si>
  <si>
    <t>=NL(,"7002 Salgspris","5 Salgspris","2 Salgskode","grundpris","13 Salgstype","Debitorprisgruppe","1 Varenr.",$G64,"15 Slutdato",$E$8,"4 Startdato",$E$7)</t>
  </si>
  <si>
    <t>=IF($G64&lt;&gt;"",NL(,"7002 Salgspris","6082688 Vejl. salgspris afrundet","2 Salgskode","grundpris","13 Salgstype","Debitorprisgruppe","1 Varenr.",$G64,"15 Slutdato",$E$8,"4 Startdato",$E$7),"")</t>
  </si>
  <si>
    <t>=IF($G64&lt;&gt;"",NL("Last","7002 Salgspris","5 Salgspris","2 Salgskode",$D$3,"13 Salgstype","Kampagne","1 Varenr.",$G64),"")</t>
  </si>
  <si>
    <t>=IF($G64&lt;&gt;"",NL("Last","7002 Salgspris","6082688 Vejl. salgspris afrundet","2 Salgskode",$D$3,"13 Salgstype","Kampagne","1 Varenr.",$G64),"")</t>
  </si>
  <si>
    <t>=IFERROR((L64-N64),"")</t>
  </si>
  <si>
    <t>=IF(G65="","Skjul","show")</t>
  </si>
  <si>
    <t>=+C64</t>
  </si>
  <si>
    <t>="""NAV"",""Helsam - Drift"",""27"",""1"",""51426"""</t>
  </si>
  <si>
    <t>=IF($D65&lt;&gt;"",NF($D65,"1 Nummer"),"")</t>
  </si>
  <si>
    <t>=IF($D65&lt;&gt;"",NF($D65,"Beskrivelse"),"")&amp;" "&amp;NL(,"Udvidet tekst - linje","Tekst","nummer",$G65)</t>
  </si>
  <si>
    <t>=NL(,"6082571 Informations opsætning","11 Værdi","3 Information kode","MÅLEANTAL","2 Nummer",$G65)&amp;" "&amp;NL(,"6082571 Informations opsætning","14 Beskrivelse","3 Information kode","MÅLEENHED","2 Nummer",$G65)</t>
  </si>
  <si>
    <t>=NL(,"5404 Vareenhed","3 Antal pr. enhed","2 Kode","KOLLI","1 Varenr.",$G65)</t>
  </si>
  <si>
    <t>=NL(,"7002 Salgspris","5 Salgspris","2 Salgskode","grundpris","13 Salgstype","Debitorprisgruppe","1 Varenr.",$G65,"15 Slutdato",$E$8,"4 Startdato",$E$7)</t>
  </si>
  <si>
    <t>=IF($G65&lt;&gt;"",NL(,"7002 Salgspris","6082688 Vejl. salgspris afrundet","2 Salgskode","grundpris","13 Salgstype","Debitorprisgruppe","1 Varenr.",$G65,"15 Slutdato",$E$8,"4 Startdato",$E$7),"")</t>
  </si>
  <si>
    <t>=IF($G65&lt;&gt;"",NL("Last","7002 Salgspris","5 Salgspris","2 Salgskode",$D$3,"13 Salgstype","Kampagne","1 Varenr.",$G65),"")</t>
  </si>
  <si>
    <t>=IF($G65&lt;&gt;"",NL("Last","7002 Salgspris","6082688 Vejl. salgspris afrundet","2 Salgskode",$D$3,"13 Salgstype","Kampagne","1 Varenr.",$G65),"")</t>
  </si>
  <si>
    <t>=IFERROR((L65-N65),"")</t>
  </si>
  <si>
    <t>="""NAV"",""Helsam - Drift"",""27"",""1"",""21546"""</t>
  </si>
  <si>
    <t>="""NAV"",""Helsam - Drift"",""27"",""1"",""21548"""</t>
  </si>
  <si>
    <t>="""NAV"",""Helsam - Drift"",""27"",""1"",""21547"""</t>
  </si>
  <si>
    <t>="""NAV"",""Helsam - Drift"",""27"",""1"",""21676"""</t>
  </si>
  <si>
    <t>="""NAV"",""Helsam - Drift"",""27"",""1"",""21677"""</t>
  </si>
  <si>
    <t>="""NAV"",""Helsam - Drift"",""27"",""1"",""21722"""</t>
  </si>
  <si>
    <t>="""NAV"",""Helsam - Drift"",""27"",""1"",""21678"""</t>
  </si>
  <si>
    <t>="""NAV"",""Helsam - Drift"",""27"",""1"",""26488"""</t>
  </si>
  <si>
    <t>=E76</t>
  </si>
  <si>
    <t>="""NAV"",""Helsam - Drift"",""23"",""1"",""003"""</t>
  </si>
  <si>
    <t>=NF($D76,"1 Nummer")</t>
  </si>
  <si>
    <t>=NF($D76,"2 Navn")</t>
  </si>
  <si>
    <t>=NL("Rækker","Vare",,"31 Leverandørnr.","@@"&amp;$C77,"54 Spærret","Falsk","+3 Beskrivelse","*","Link=","7002 Salgspris","1 Varenr.","=1 Nummer","2 Salgskode",$D$3,"13 Salgstype","Kampagne","Regnskab=","Helsam - Drift","Datakilde=","NAV")</t>
  </si>
  <si>
    <t>=E80</t>
  </si>
  <si>
    <t>=NF($D80,"1 Nummer")</t>
  </si>
  <si>
    <t>=NF($D80,"2 Navn")</t>
  </si>
  <si>
    <t>=NL("Rækker","Vare",,"31 Leverandørnr.","@@"&amp;$C81,"54 Spærret","Falsk","+3 Beskrivelse","*","Link=","7002 Salgspris","1 Varenr.","=1 Nummer","2 Salgskode",$D$3,"13 Salgstype","Kampagne","Regnskab=","Helsam - Drift","Datakilde=","NAV")</t>
  </si>
  <si>
    <t>="""NAV"",""Helsam - Drift"",""27"",""1"",""7646"""</t>
  </si>
  <si>
    <t>=E86</t>
  </si>
  <si>
    <t>=NF($D86,"1 Nummer")</t>
  </si>
  <si>
    <t>=NF($D86,"2 Navn")</t>
  </si>
  <si>
    <t>=NL("Rækker","Vare",,"31 Leverandørnr.","@@"&amp;$C87,"54 Spærret","Falsk","+3 Beskrivelse","*","Link=","7002 Salgspris","1 Varenr.","=1 Nummer","2 Salgskode",$D$3,"13 Salgstype","Kampagne","Regnskab=","Helsam - Drift","Datakilde=","NAV")</t>
  </si>
  <si>
    <t>=E90</t>
  </si>
  <si>
    <t>="""NAV"",""Helsam - Drift"",""23"",""1"",""011"""</t>
  </si>
  <si>
    <t>=NF($D90,"1 Nummer")</t>
  </si>
  <si>
    <t>=NF($D90,"2 Navn")</t>
  </si>
  <si>
    <t>=NL("Rækker","Vare",,"31 Leverandørnr.","@@"&amp;$C91,"54 Spærret","Falsk","+3 Beskrivelse","*","Link=","7002 Salgspris","1 Varenr.","=1 Nummer","2 Salgskode",$D$3,"13 Salgstype","Kampagne","Regnskab=","Helsam - Drift","Datakilde=","NAV")</t>
  </si>
  <si>
    <t>=IF(G92="","Skjul","show")</t>
  </si>
  <si>
    <t>=+C91</t>
  </si>
  <si>
    <t>="""NAV"",""Helsam - Drift"",""27"",""1"",""8322"""</t>
  </si>
  <si>
    <t>=IF($D92&lt;&gt;"",NF($D92,"1 Nummer"),"")</t>
  </si>
  <si>
    <t>=IF($D92&lt;&gt;"",NF($D92,"Beskrivelse"),"")&amp;" "&amp;NL(,"Udvidet tekst - linje","Tekst","nummer",$G92)</t>
  </si>
  <si>
    <t>=NL(,"6082571 Informations opsætning","11 Værdi","3 Information kode","MÅLEANTAL","2 Nummer",$G92)&amp;" "&amp;NL(,"6082571 Informations opsætning","14 Beskrivelse","3 Information kode","MÅLEENHED","2 Nummer",$G92)</t>
  </si>
  <si>
    <t>=NL(,"5404 Vareenhed","3 Antal pr. enhed","2 Kode","KOLLI","1 Varenr.",$G92)</t>
  </si>
  <si>
    <t>=NL(,"7002 Salgspris","5 Salgspris","2 Salgskode","grundpris","13 Salgstype","Debitorprisgruppe","1 Varenr.",$G92,"15 Slutdato",$E$8,"4 Startdato",$E$7)</t>
  </si>
  <si>
    <t>=IF($G92&lt;&gt;"",NL(,"7002 Salgspris","6082688 Vejl. salgspris afrundet","2 Salgskode","grundpris","13 Salgstype","Debitorprisgruppe","1 Varenr.",$G92,"15 Slutdato",$E$8,"4 Startdato",$E$7),"")</t>
  </si>
  <si>
    <t>=IF($G92&lt;&gt;"",NL("Last","7002 Salgspris","5 Salgspris","2 Salgskode",$D$3,"13 Salgstype","Kampagne","1 Varenr.",$G92),"")</t>
  </si>
  <si>
    <t>=IF($G92&lt;&gt;"",NL("Last","7002 Salgspris","6082688 Vejl. salgspris afrundet","2 Salgskode",$D$3,"13 Salgstype","Kampagne","1 Varenr.",$G92),"")</t>
  </si>
  <si>
    <t>=IFERROR((L92-N92),"")</t>
  </si>
  <si>
    <t>=IF(G93="","Skjul","show")</t>
  </si>
  <si>
    <t>=+C92</t>
  </si>
  <si>
    <t>="""NAV"",""Helsam - Drift"",""27"",""1"",""27332"""</t>
  </si>
  <si>
    <t>=IF($D93&lt;&gt;"",NF($D93,"1 Nummer"),"")</t>
  </si>
  <si>
    <t>=IF($D93&lt;&gt;"",NF($D93,"Beskrivelse"),"")&amp;" "&amp;NL(,"Udvidet tekst - linje","Tekst","nummer",$G93)</t>
  </si>
  <si>
    <t>=NL(,"6082571 Informations opsætning","11 Værdi","3 Information kode","MÅLEANTAL","2 Nummer",$G93)&amp;" "&amp;NL(,"6082571 Informations opsætning","14 Beskrivelse","3 Information kode","MÅLEENHED","2 Nummer",$G93)</t>
  </si>
  <si>
    <t>=NL(,"5404 Vareenhed","3 Antal pr. enhed","2 Kode","KOLLI","1 Varenr.",$G93)</t>
  </si>
  <si>
    <t>=NL(,"7002 Salgspris","5 Salgspris","2 Salgskode","grundpris","13 Salgstype","Debitorprisgruppe","1 Varenr.",$G93,"15 Slutdato",$E$8,"4 Startdato",$E$7)</t>
  </si>
  <si>
    <t>=IF($G93&lt;&gt;"",NL(,"7002 Salgspris","6082688 Vejl. salgspris afrundet","2 Salgskode","grundpris","13 Salgstype","Debitorprisgruppe","1 Varenr.",$G93,"15 Slutdato",$E$8,"4 Startdato",$E$7),"")</t>
  </si>
  <si>
    <t>=IF($G93&lt;&gt;"",NL("Last","7002 Salgspris","5 Salgspris","2 Salgskode",$D$3,"13 Salgstype","Kampagne","1 Varenr.",$G93),"")</t>
  </si>
  <si>
    <t>=IF($G93&lt;&gt;"",NL("Last","7002 Salgspris","6082688 Vejl. salgspris afrundet","2 Salgskode",$D$3,"13 Salgstype","Kampagne","1 Varenr.",$G93),"")</t>
  </si>
  <si>
    <t>=IFERROR((L93-N93),"")</t>
  </si>
  <si>
    <t>=E96</t>
  </si>
  <si>
    <t>="""NAV"",""Helsam - Drift"",""23"",""1"",""178"""</t>
  </si>
  <si>
    <t>=NF($D96,"1 Nummer")</t>
  </si>
  <si>
    <t>=NF($D96,"2 Navn")</t>
  </si>
  <si>
    <t>=NL("Rækker","Vare",,"31 Leverandørnr.","@@"&amp;$C97,"54 Spærret","Falsk","+3 Beskrivelse","*","Link=","7002 Salgspris","1 Varenr.","=1 Nummer","2 Salgskode",$D$3,"13 Salgstype","Kampagne","Regnskab=","Helsam - Drift","Datakilde=","NAV")</t>
  </si>
  <si>
    <t>="""NAV"",""Helsam - Drift"",""27"",""1"",""1151"""</t>
  </si>
  <si>
    <t>=IF(G103="","Skjul","show")</t>
  </si>
  <si>
    <t>=+C102</t>
  </si>
  <si>
    <t>="""NAV"",""Helsam - Drift"",""27"",""1"",""19104"""</t>
  </si>
  <si>
    <t>=IF($D103&lt;&gt;"",NF($D103,"1 Nummer"),"")</t>
  </si>
  <si>
    <t>=IF($D103&lt;&gt;"",NF($D103,"Beskrivelse"),"")&amp;" "&amp;NL(,"Udvidet tekst - linje","Tekst","nummer",$G103)</t>
  </si>
  <si>
    <t>=NL(,"6082571 Informations opsætning","11 Værdi","3 Information kode","MÅLEANTAL","2 Nummer",$G103)&amp;" "&amp;NL(,"6082571 Informations opsætning","14 Beskrivelse","3 Information kode","MÅLEENHED","2 Nummer",$G103)</t>
  </si>
  <si>
    <t>=NL(,"5404 Vareenhed","3 Antal pr. enhed","2 Kode","KOLLI","1 Varenr.",$G103)</t>
  </si>
  <si>
    <t>=NL(,"7002 Salgspris","5 Salgspris","2 Salgskode","grundpris","13 Salgstype","Debitorprisgruppe","1 Varenr.",$G103,"15 Slutdato",$E$8,"4 Startdato",$E$7)</t>
  </si>
  <si>
    <t>=IF($G103&lt;&gt;"",NL(,"7002 Salgspris","6082688 Vejl. salgspris afrundet","2 Salgskode","grundpris","13 Salgstype","Debitorprisgruppe","1 Varenr.",$G103,"15 Slutdato",$E$8,"4 Startdato",$E$7),"")</t>
  </si>
  <si>
    <t>=IF($G103&lt;&gt;"",NL("Last","7002 Salgspris","5 Salgspris","2 Salgskode",$D$3,"13 Salgstype","Kampagne","1 Varenr.",$G103),"")</t>
  </si>
  <si>
    <t>=IF($G103&lt;&gt;"",NL("Last","7002 Salgspris","6082688 Vejl. salgspris afrundet","2 Salgskode",$D$3,"13 Salgstype","Kampagne","1 Varenr.",$G103),"")</t>
  </si>
  <si>
    <t>=IFERROR((L103-N103),"")</t>
  </si>
  <si>
    <t>=IF(G104="","Skjul","show")</t>
  </si>
  <si>
    <t>=+C103</t>
  </si>
  <si>
    <t>="""NAV"",""Helsam - Drift"",""27"",""1"",""1114"""</t>
  </si>
  <si>
    <t>=IF($D104&lt;&gt;"",NF($D104,"1 Nummer"),"")</t>
  </si>
  <si>
    <t>=IF($D104&lt;&gt;"",NF($D104,"Beskrivelse"),"")&amp;" "&amp;NL(,"Udvidet tekst - linje","Tekst","nummer",$G104)</t>
  </si>
  <si>
    <t>=NL(,"6082571 Informations opsætning","11 Værdi","3 Information kode","MÅLEANTAL","2 Nummer",$G104)&amp;" "&amp;NL(,"6082571 Informations opsætning","14 Beskrivelse","3 Information kode","MÅLEENHED","2 Nummer",$G104)</t>
  </si>
  <si>
    <t>=NL(,"5404 Vareenhed","3 Antal pr. enhed","2 Kode","KOLLI","1 Varenr.",$G104)</t>
  </si>
  <si>
    <t>=NL(,"7002 Salgspris","5 Salgspris","2 Salgskode","grundpris","13 Salgstype","Debitorprisgruppe","1 Varenr.",$G104,"15 Slutdato",$E$8,"4 Startdato",$E$7)</t>
  </si>
  <si>
    <t>=IF($G104&lt;&gt;"",NL(,"7002 Salgspris","6082688 Vejl. salgspris afrundet","2 Salgskode","grundpris","13 Salgstype","Debitorprisgruppe","1 Varenr.",$G104,"15 Slutdato",$E$8,"4 Startdato",$E$7),"")</t>
  </si>
  <si>
    <t>=IF($G104&lt;&gt;"",NL("Last","7002 Salgspris","5 Salgspris","2 Salgskode",$D$3,"13 Salgstype","Kampagne","1 Varenr.",$G104),"")</t>
  </si>
  <si>
    <t>=IF($G104&lt;&gt;"",NL("Last","7002 Salgspris","6082688 Vejl. salgspris afrundet","2 Salgskode",$D$3,"13 Salgstype","Kampagne","1 Varenr.",$G104),"")</t>
  </si>
  <si>
    <t>=IFERROR((L104-N104),"")</t>
  </si>
  <si>
    <t>=IF(G105="","Skjul","show")</t>
  </si>
  <si>
    <t>=+C104</t>
  </si>
  <si>
    <t>="""NAV"",""Helsam - Drift"",""27"",""1"",""1115"""</t>
  </si>
  <si>
    <t>=IF($D105&lt;&gt;"",NF($D105,"1 Nummer"),"")</t>
  </si>
  <si>
    <t>=IF($D105&lt;&gt;"",NF($D105,"Beskrivelse"),"")&amp;" "&amp;NL(,"Udvidet tekst - linje","Tekst","nummer",$G105)</t>
  </si>
  <si>
    <t>=NL(,"6082571 Informations opsætning","11 Værdi","3 Information kode","MÅLEANTAL","2 Nummer",$G105)&amp;" "&amp;NL(,"6082571 Informations opsætning","14 Beskrivelse","3 Information kode","MÅLEENHED","2 Nummer",$G105)</t>
  </si>
  <si>
    <t>=NL(,"5404 Vareenhed","3 Antal pr. enhed","2 Kode","KOLLI","1 Varenr.",$G105)</t>
  </si>
  <si>
    <t>=NL(,"7002 Salgspris","5 Salgspris","2 Salgskode","grundpris","13 Salgstype","Debitorprisgruppe","1 Varenr.",$G105,"15 Slutdato",$E$8,"4 Startdato",$E$7)</t>
  </si>
  <si>
    <t>=IF($G105&lt;&gt;"",NL(,"7002 Salgspris","6082688 Vejl. salgspris afrundet","2 Salgskode","grundpris","13 Salgstype","Debitorprisgruppe","1 Varenr.",$G105,"15 Slutdato",$E$8,"4 Startdato",$E$7),"")</t>
  </si>
  <si>
    <t>=IF($G105&lt;&gt;"",NL("Last","7002 Salgspris","5 Salgspris","2 Salgskode",$D$3,"13 Salgstype","Kampagne","1 Varenr.",$G105),"")</t>
  </si>
  <si>
    <t>=IF($G105&lt;&gt;"",NL("Last","7002 Salgspris","6082688 Vejl. salgspris afrundet","2 Salgskode",$D$3,"13 Salgstype","Kampagne","1 Varenr.",$G105),"")</t>
  </si>
  <si>
    <t>=IFERROR((L105-N105),"")</t>
  </si>
  <si>
    <t>="""NAV"",""Helsam - Drift"",""27"",""1"",""19105"""</t>
  </si>
  <si>
    <t>="""NAV"",""Helsam - Drift"",""27"",""1"",""19064"""</t>
  </si>
  <si>
    <t>="""NAV"",""Helsam - Drift"",""27"",""1"",""19065"""</t>
  </si>
  <si>
    <t>="""NAV"",""Helsam - Drift"",""27"",""1"",""19062"""</t>
  </si>
  <si>
    <t>="""NAV"",""Helsam - Drift"",""27"",""1"",""19063"""</t>
  </si>
  <si>
    <t>="""NAV"",""Helsam - Drift"",""27"",""1"",""19056"""</t>
  </si>
  <si>
    <t>="""NAV"",""Helsam - Drift"",""27"",""1"",""19057"""</t>
  </si>
  <si>
    <t>="""NAV"",""Helsam - Drift"",""27"",""1"",""19055"""</t>
  </si>
  <si>
    <t>="""NAV"",""Helsam - Drift"",""27"",""1"",""19058"""</t>
  </si>
  <si>
    <t>="""NAV"",""Helsam - Drift"",""27"",""1"",""19059"""</t>
  </si>
  <si>
    <t>="""NAV"",""Helsam - Drift"",""27"",""1"",""19053"""</t>
  </si>
  <si>
    <t>=IF(G117="","Skjul","show")</t>
  </si>
  <si>
    <t>=+C116</t>
  </si>
  <si>
    <t>="""NAV"",""Helsam - Drift"",""27"",""1"",""19054"""</t>
  </si>
  <si>
    <t>=IF($D117&lt;&gt;"",NF($D117,"1 Nummer"),"")</t>
  </si>
  <si>
    <t>=IF($D117&lt;&gt;"",NF($D117,"Beskrivelse"),"")&amp;" "&amp;NL(,"Udvidet tekst - linje","Tekst","nummer",$G117)</t>
  </si>
  <si>
    <t>=NL(,"6082571 Informations opsætning","11 Værdi","3 Information kode","MÅLEANTAL","2 Nummer",$G117)&amp;" "&amp;NL(,"6082571 Informations opsætning","14 Beskrivelse","3 Information kode","MÅLEENHED","2 Nummer",$G117)</t>
  </si>
  <si>
    <t>=NL(,"5404 Vareenhed","3 Antal pr. enhed","2 Kode","KOLLI","1 Varenr.",$G117)</t>
  </si>
  <si>
    <t>=NL(,"7002 Salgspris","5 Salgspris","2 Salgskode","grundpris","13 Salgstype","Debitorprisgruppe","1 Varenr.",$G117,"15 Slutdato",$E$8,"4 Startdato",$E$7)</t>
  </si>
  <si>
    <t>=IF($G117&lt;&gt;"",NL(,"7002 Salgspris","6082688 Vejl. salgspris afrundet","2 Salgskode","grundpris","13 Salgstype","Debitorprisgruppe","1 Varenr.",$G117,"15 Slutdato",$E$8,"4 Startdato",$E$7),"")</t>
  </si>
  <si>
    <t>=IF($G117&lt;&gt;"",NL("Last","7002 Salgspris","5 Salgspris","2 Salgskode",$D$3,"13 Salgstype","Kampagne","1 Varenr.",$G117),"")</t>
  </si>
  <si>
    <t>=IF($G117&lt;&gt;"",NL("Last","7002 Salgspris","6082688 Vejl. salgspris afrundet","2 Salgskode",$D$3,"13 Salgstype","Kampagne","1 Varenr.",$G117),"")</t>
  </si>
  <si>
    <t>=IFERROR((L117-N117),"")</t>
  </si>
  <si>
    <t>=IF(G118="","Skjul","show")</t>
  </si>
  <si>
    <t>=+C117</t>
  </si>
  <si>
    <t>="""NAV"",""Helsam - Drift"",""27"",""1"",""1112"""</t>
  </si>
  <si>
    <t>=IF($D118&lt;&gt;"",NF($D118,"1 Nummer"),"")</t>
  </si>
  <si>
    <t>=IF($D118&lt;&gt;"",NF($D118,"Beskrivelse"),"")&amp;" "&amp;NL(,"Udvidet tekst - linje","Tekst","nummer",$G118)</t>
  </si>
  <si>
    <t>=NL(,"6082571 Informations opsætning","11 Værdi","3 Information kode","MÅLEANTAL","2 Nummer",$G118)&amp;" "&amp;NL(,"6082571 Informations opsætning","14 Beskrivelse","3 Information kode","MÅLEENHED","2 Nummer",$G118)</t>
  </si>
  <si>
    <t>=NL(,"5404 Vareenhed","3 Antal pr. enhed","2 Kode","KOLLI","1 Varenr.",$G118)</t>
  </si>
  <si>
    <t>=NL(,"7002 Salgspris","5 Salgspris","2 Salgskode","grundpris","13 Salgstype","Debitorprisgruppe","1 Varenr.",$G118,"15 Slutdato",$E$8,"4 Startdato",$E$7)</t>
  </si>
  <si>
    <t>=IF($G118&lt;&gt;"",NL(,"7002 Salgspris","6082688 Vejl. salgspris afrundet","2 Salgskode","grundpris","13 Salgstype","Debitorprisgruppe","1 Varenr.",$G118,"15 Slutdato",$E$8,"4 Startdato",$E$7),"")</t>
  </si>
  <si>
    <t>=IF($G118&lt;&gt;"",NL("Last","7002 Salgspris","5 Salgspris","2 Salgskode",$D$3,"13 Salgstype","Kampagne","1 Varenr.",$G118),"")</t>
  </si>
  <si>
    <t>=IF($G118&lt;&gt;"",NL("Last","7002 Salgspris","6082688 Vejl. salgspris afrundet","2 Salgskode",$D$3,"13 Salgstype","Kampagne","1 Varenr.",$G118),"")</t>
  </si>
  <si>
    <t>=IFERROR((L118-N118),"")</t>
  </si>
  <si>
    <t>=IF(G119="","Skjul","show")</t>
  </si>
  <si>
    <t>=+C118</t>
  </si>
  <si>
    <t>="""NAV"",""Helsam - Drift"",""27"",""1"",""1113"""</t>
  </si>
  <si>
    <t>=IF($D119&lt;&gt;"",NF($D119,"1 Nummer"),"")</t>
  </si>
  <si>
    <t>=IF($D119&lt;&gt;"",NF($D119,"Beskrivelse"),"")&amp;" "&amp;NL(,"Udvidet tekst - linje","Tekst","nummer",$G119)</t>
  </si>
  <si>
    <t>=NL(,"6082571 Informations opsætning","11 Værdi","3 Information kode","MÅLEANTAL","2 Nummer",$G119)&amp;" "&amp;NL(,"6082571 Informations opsætning","14 Beskrivelse","3 Information kode","MÅLEENHED","2 Nummer",$G119)</t>
  </si>
  <si>
    <t>=NL(,"5404 Vareenhed","3 Antal pr. enhed","2 Kode","KOLLI","1 Varenr.",$G119)</t>
  </si>
  <si>
    <t>=NL(,"7002 Salgspris","5 Salgspris","2 Salgskode","grundpris","13 Salgstype","Debitorprisgruppe","1 Varenr.",$G119,"15 Slutdato",$E$8,"4 Startdato",$E$7)</t>
  </si>
  <si>
    <t>=IF($G119&lt;&gt;"",NL(,"7002 Salgspris","6082688 Vejl. salgspris afrundet","2 Salgskode","grundpris","13 Salgstype","Debitorprisgruppe","1 Varenr.",$G119,"15 Slutdato",$E$8,"4 Startdato",$E$7),"")</t>
  </si>
  <si>
    <t>=IF($G119&lt;&gt;"",NL("Last","7002 Salgspris","5 Salgspris","2 Salgskode",$D$3,"13 Salgstype","Kampagne","1 Varenr.",$G119),"")</t>
  </si>
  <si>
    <t>=IF($G119&lt;&gt;"",NL("Last","7002 Salgspris","6082688 Vejl. salgspris afrundet","2 Salgskode",$D$3,"13 Salgstype","Kampagne","1 Varenr.",$G119),"")</t>
  </si>
  <si>
    <t>=IFERROR((L119-N119),"")</t>
  </si>
  <si>
    <t>="""NAV"",""Helsam - Drift"",""27"",""1"",""19106"""</t>
  </si>
  <si>
    <t>="""NAV"",""Helsam - Drift"",""27"",""1"",""19075"""</t>
  </si>
  <si>
    <t>="""NAV"",""Helsam - Drift"",""27"",""1"",""19073"""</t>
  </si>
  <si>
    <t>="""NAV"",""Helsam - Drift"",""27"",""1"",""19076"""</t>
  </si>
  <si>
    <t>="""NAV"",""Helsam - Drift"",""27"",""1"",""19077"""</t>
  </si>
  <si>
    <t>="""NAV"",""Helsam - Drift"",""27"",""1"",""19074"""</t>
  </si>
  <si>
    <t>="""NAV"",""Helsam - Drift"",""27"",""1"",""19071"""</t>
  </si>
  <si>
    <t>="""NAV"",""Helsam - Drift"",""27"",""1"",""19072"""</t>
  </si>
  <si>
    <t>="""NAV"",""Helsam - Drift"",""27"",""1"",""1102"""</t>
  </si>
  <si>
    <t>="""NAV"",""Helsam - Drift"",""27"",""1"",""1103"""</t>
  </si>
  <si>
    <t>="""NAV"",""Helsam - Drift"",""27"",""1"",""19102"""</t>
  </si>
  <si>
    <t>="""NAV"",""Helsam - Drift"",""27"",""1"",""1100"""</t>
  </si>
  <si>
    <t>="""NAV"",""Helsam - Drift"",""27"",""1"",""1101"""</t>
  </si>
  <si>
    <t>="""NAV"",""Helsam - Drift"",""27"",""1"",""19103"""</t>
  </si>
  <si>
    <t>="""NAV"",""Helsam - Drift"",""27"",""1"",""1139"""</t>
  </si>
  <si>
    <t>="""NAV"",""Helsam - Drift"",""27"",""1"",""1140"""</t>
  </si>
  <si>
    <t>="""NAV"",""Helsam - Drift"",""27"",""1"",""19100"""</t>
  </si>
  <si>
    <t>="""NAV"",""Helsam - Drift"",""27"",""1"",""10802"""</t>
  </si>
  <si>
    <t>="""NAV"",""Helsam - Drift"",""27"",""1"",""10853"""</t>
  </si>
  <si>
    <t>="""NAV"",""Helsam - Drift"",""27"",""1"",""10804"""</t>
  </si>
  <si>
    <t>="""NAV"",""Helsam - Drift"",""27"",""1"",""10803"""</t>
  </si>
  <si>
    <t>=E143</t>
  </si>
  <si>
    <t>="""NAV"",""Helsam - Drift"",""23"",""1"",""564"""</t>
  </si>
  <si>
    <t>=NF($D143,"1 Nummer")</t>
  </si>
  <si>
    <t>=NF($D143,"2 Navn")</t>
  </si>
  <si>
    <t>=NL("Rækker","Vare",,"31 Leverandørnr.","@@"&amp;$C144,"54 Spærret","Falsk","+3 Beskrivelse","*","Link=","7002 Salgspris","1 Varenr.","=1 Nummer","2 Salgskode",$D$3,"13 Salgstype","Kampagne","Regnskab=","Helsam - Drift","Datakilde=","NAV")</t>
  </si>
  <si>
    <t>="""NAV"",""Helsam - Drift"",""27"",""1"",""50865"""</t>
  </si>
  <si>
    <t>="""NAV"",""Helsam - Drift"",""27"",""1"",""50868"""</t>
  </si>
  <si>
    <t>="""NAV"",""Helsam - Drift"",""27"",""1"",""50869"""</t>
  </si>
  <si>
    <t>="""NAV"",""Helsam - Drift"",""27"",""1"",""50871"""</t>
  </si>
  <si>
    <t>="""NAV"",""Helsam - Drift"",""27"",""1"",""50863"""</t>
  </si>
  <si>
    <t>="""NAV"",""Helsam - Drift"",""27"",""1"",""50867"""</t>
  </si>
  <si>
    <t>="""NAV"",""Helsam - Drift"",""27"",""1"",""50864"""</t>
  </si>
  <si>
    <t>="""NAV"",""Helsam - Drift"",""27"",""1"",""50870"""</t>
  </si>
  <si>
    <t>Auto+Skjul+Værdier+Formulas=Ark5,Ark3,Ark4+FormulasOnly</t>
  </si>
  <si>
    <t>Spar %</t>
  </si>
  <si>
    <t xml:space="preserve">Vi tager forbehold for trykfejl og udsolgte varer. </t>
  </si>
  <si>
    <t>Obs. Holdbarhed: 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</si>
</sst>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mmm"/>
    <numFmt numFmtId="165" formatCode="mmmm\ 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sz val="20"/>
      <color theme="1"/>
      <name val="Century Gothic"/>
      <family val="2"/>
    </font>
    <font>
      <b/>
      <u/>
      <sz val="12"/>
      <color theme="1"/>
      <name val="Century Gothic"/>
      <family val="2"/>
    </font>
    <font>
      <b/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rgb="FFFF0000"/>
      <name val="Century Gothic"/>
      <family val="2"/>
    </font>
    <font>
      <sz val="8"/>
      <name val="Calibri"/>
      <family val="2"/>
      <scheme val="minor"/>
    </font>
    <font>
      <b/>
      <i/>
      <sz val="10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D4E6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0" xfId="0" quotePrefix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43" fontId="2" fillId="0" borderId="0" xfId="1" applyFont="1" applyBorder="1" applyAlignment="1">
      <alignment horizontal="right"/>
    </xf>
    <xf numFmtId="43" fontId="6" fillId="0" borderId="0" xfId="1" applyFont="1" applyBorder="1" applyAlignment="1">
      <alignment horizontal="right"/>
    </xf>
    <xf numFmtId="14" fontId="2" fillId="0" borderId="0" xfId="0" applyNumberFormat="1" applyFont="1"/>
    <xf numFmtId="0" fontId="4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43" fontId="3" fillId="0" borderId="0" xfId="1" applyFont="1" applyBorder="1" applyAlignment="1">
      <alignment horizontal="right"/>
    </xf>
    <xf numFmtId="43" fontId="8" fillId="2" borderId="0" xfId="1" applyFont="1" applyFill="1" applyBorder="1" applyAlignment="1">
      <alignment horizontal="right"/>
    </xf>
    <xf numFmtId="43" fontId="3" fillId="0" borderId="0" xfId="0" applyNumberFormat="1" applyFont="1"/>
    <xf numFmtId="0" fontId="2" fillId="0" borderId="1" xfId="0" applyFont="1" applyBorder="1"/>
    <xf numFmtId="0" fontId="5" fillId="0" borderId="0" xfId="0" applyFont="1" applyAlignment="1">
      <alignment vertical="top"/>
    </xf>
    <xf numFmtId="0" fontId="9" fillId="0" borderId="0" xfId="0" applyFont="1"/>
    <xf numFmtId="14" fontId="0" fillId="0" borderId="0" xfId="0" applyNumberFormat="1"/>
    <xf numFmtId="9" fontId="2" fillId="0" borderId="0" xfId="0" applyNumberFormat="1" applyFont="1"/>
    <xf numFmtId="0" fontId="11" fillId="0" borderId="0" xfId="0" applyFont="1" applyBorder="1"/>
    <xf numFmtId="0" fontId="6" fillId="0" borderId="0" xfId="0" applyFont="1"/>
    <xf numFmtId="0" fontId="4" fillId="0" borderId="0" xfId="0" applyFont="1" applyAlignment="1">
      <alignment horizontal="center"/>
    </xf>
    <xf numFmtId="165" fontId="7" fillId="0" borderId="0" xfId="0" applyNumberFormat="1" applyFont="1" applyAlignment="1">
      <alignment horizontal="left" wrapText="1"/>
    </xf>
  </cellXfs>
  <cellStyles count="2">
    <cellStyle name="Komma" xfId="1" builtinId="3"/>
    <cellStyle name="Normal" xfId="0" builtinId="0"/>
  </cellStyles>
  <dxfs count="0"/>
  <tableStyles count="0" defaultTableStyle="TableStyleMedium2" defaultPivotStyle="PivotStyleLight16"/>
  <colors>
    <mruColors>
      <color rgb="FFD4E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8</xdr:row>
      <xdr:rowOff>104774</xdr:rowOff>
    </xdr:from>
    <xdr:to>
      <xdr:col>15</xdr:col>
      <xdr:colOff>429423</xdr:colOff>
      <xdr:row>16</xdr:row>
      <xdr:rowOff>291193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400"/>
        <a:stretch/>
      </xdr:blipFill>
      <xdr:spPr>
        <a:xfrm>
          <a:off x="8448675" y="1476374"/>
          <a:ext cx="10554498" cy="1552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4"/>
  <sheetViews>
    <sheetView showGridLines="0" tabSelected="1" topLeftCell="F124" zoomScale="80" zoomScaleNormal="80" workbookViewId="0">
      <selection activeCell="I85" sqref="I85"/>
    </sheetView>
  </sheetViews>
  <sheetFormatPr defaultColWidth="9.140625" defaultRowHeight="15" x14ac:dyDescent="0.25"/>
  <cols>
    <col min="1" max="2" width="18.140625" hidden="1" customWidth="1"/>
    <col min="3" max="3" width="28.7109375" hidden="1" customWidth="1"/>
    <col min="4" max="5" width="57.7109375" hidden="1" customWidth="1"/>
    <col min="6" max="6" width="3.42578125" customWidth="1"/>
    <col min="7" max="7" width="15.28515625" style="1" customWidth="1"/>
    <col min="8" max="8" width="9" style="1" customWidth="1"/>
    <col min="9" max="9" width="68.28515625" style="1" customWidth="1"/>
    <col min="10" max="10" width="11.140625" style="1" customWidth="1"/>
    <col min="11" max="11" width="8.28515625" style="1" customWidth="1"/>
    <col min="12" max="13" width="9.7109375" style="1" customWidth="1"/>
    <col min="14" max="14" width="11" style="1" bestFit="1" customWidth="1"/>
    <col min="15" max="15" width="9.7109375" style="1" customWidth="1"/>
    <col min="16" max="16384" width="9.140625" style="1"/>
  </cols>
  <sheetData>
    <row r="1" spans="1:15" customFormat="1" hidden="1" x14ac:dyDescent="0.25">
      <c r="A1" t="s">
        <v>1439</v>
      </c>
      <c r="B1" t="s">
        <v>472</v>
      </c>
      <c r="C1" t="s">
        <v>473</v>
      </c>
      <c r="D1" t="s">
        <v>474</v>
      </c>
      <c r="E1" t="s">
        <v>477</v>
      </c>
    </row>
    <row r="2" spans="1:15" customFormat="1" hidden="1" x14ac:dyDescent="0.25">
      <c r="A2" t="s">
        <v>475</v>
      </c>
      <c r="C2" t="str">
        <f>"061"</f>
        <v>061</v>
      </c>
    </row>
    <row r="3" spans="1:15" customFormat="1" hidden="1" x14ac:dyDescent="0.25">
      <c r="A3" t="s">
        <v>476</v>
      </c>
      <c r="C3" t="s">
        <v>62</v>
      </c>
      <c r="D3" t="str">
        <f>"24H MARTS 22"</f>
        <v>24H MARTS 22</v>
      </c>
    </row>
    <row r="4" spans="1:15" customFormat="1" hidden="1" x14ac:dyDescent="0.25">
      <c r="A4" t="s">
        <v>475</v>
      </c>
      <c r="C4" t="s">
        <v>467</v>
      </c>
      <c r="D4" s="26" t="str">
        <f>"29-03-2022"</f>
        <v>29-03-2022</v>
      </c>
      <c r="E4" s="26">
        <f>D4+(1)</f>
        <v>44650</v>
      </c>
    </row>
    <row r="5" spans="1:15" customFormat="1" hidden="1" x14ac:dyDescent="0.25">
      <c r="A5" t="s">
        <v>475</v>
      </c>
      <c r="C5" t="s">
        <v>468</v>
      </c>
      <c r="D5" s="26" t="str">
        <f>"30-03-2022"</f>
        <v>30-03-2022</v>
      </c>
    </row>
    <row r="6" spans="1:15" customFormat="1" hidden="1" x14ac:dyDescent="0.25">
      <c r="A6" t="s">
        <v>475</v>
      </c>
      <c r="C6" t="s">
        <v>469</v>
      </c>
      <c r="D6" t="str">
        <f>"29-03-2022..30-03-2022"</f>
        <v>29-03-2022..30-03-2022</v>
      </c>
      <c r="E6" s="26">
        <v>36526</v>
      </c>
    </row>
    <row r="7" spans="1:15" customFormat="1" hidden="1" x14ac:dyDescent="0.25">
      <c r="A7" t="s">
        <v>661</v>
      </c>
      <c r="C7" t="s">
        <v>662</v>
      </c>
      <c r="D7" s="26" t="str">
        <f>D4</f>
        <v>29-03-2022</v>
      </c>
      <c r="E7" t="str">
        <f>"..30-03-2022"</f>
        <v>..30-03-2022</v>
      </c>
    </row>
    <row r="8" spans="1:15" customFormat="1" hidden="1" x14ac:dyDescent="0.25">
      <c r="A8" t="s">
        <v>475</v>
      </c>
      <c r="C8" t="s">
        <v>663</v>
      </c>
      <c r="E8" t="str">
        <f>"29-03-2022..|''"</f>
        <v>29-03-2022..|''</v>
      </c>
    </row>
    <row r="9" spans="1:15" customFormat="1" hidden="1" x14ac:dyDescent="0.25">
      <c r="A9" t="s">
        <v>475</v>
      </c>
      <c r="C9" t="s">
        <v>11</v>
      </c>
      <c r="D9" t="str">
        <f>""</f>
        <v/>
      </c>
    </row>
    <row r="10" spans="1:15" ht="16.5" x14ac:dyDescent="0.3">
      <c r="C10" t="s">
        <v>12</v>
      </c>
      <c r="D10" t="str">
        <f>"..29-03-2022"</f>
        <v>..29-03-2022</v>
      </c>
      <c r="G10" s="2"/>
      <c r="H10" s="2"/>
    </row>
    <row r="11" spans="1:15" ht="16.5" x14ac:dyDescent="0.3">
      <c r="G11" s="2"/>
      <c r="H11" s="2"/>
      <c r="I11" s="12" t="str">
        <f>""</f>
        <v/>
      </c>
    </row>
    <row r="12" spans="1:15" ht="16.5" x14ac:dyDescent="0.3">
      <c r="G12" s="2"/>
      <c r="H12" s="2"/>
    </row>
    <row r="13" spans="1:15" ht="23.25" customHeight="1" x14ac:dyDescent="0.35">
      <c r="G13" s="30"/>
      <c r="H13" s="30"/>
      <c r="I13" s="30"/>
      <c r="J13" s="30"/>
      <c r="K13" s="30"/>
      <c r="L13" s="30"/>
      <c r="M13" s="30"/>
      <c r="N13" s="30"/>
      <c r="O13" s="30"/>
    </row>
    <row r="14" spans="1:15" ht="9" customHeight="1" x14ac:dyDescent="0.35">
      <c r="G14" s="6"/>
      <c r="H14" s="6"/>
      <c r="I14" s="6"/>
      <c r="J14" s="6"/>
      <c r="K14" s="6"/>
      <c r="L14" s="6"/>
      <c r="M14" s="6"/>
      <c r="N14" s="6"/>
      <c r="O14" s="7"/>
    </row>
    <row r="15" spans="1:15" ht="9" customHeight="1" x14ac:dyDescent="0.35"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9" customHeight="1" x14ac:dyDescent="0.35">
      <c r="G16" s="13"/>
      <c r="H16" s="13"/>
      <c r="I16" s="13"/>
      <c r="J16" s="13"/>
      <c r="K16" s="13"/>
      <c r="L16" s="13"/>
      <c r="M16" s="13"/>
      <c r="N16" s="13"/>
      <c r="O16" s="13"/>
    </row>
    <row r="17" spans="1:16" ht="26.25" x14ac:dyDescent="0.35">
      <c r="G17" s="13"/>
      <c r="H17" s="13"/>
      <c r="I17" s="13"/>
      <c r="J17" s="13"/>
      <c r="K17" s="13"/>
      <c r="L17" s="13"/>
      <c r="M17" s="13"/>
      <c r="N17" s="13"/>
      <c r="O17" s="13"/>
    </row>
    <row r="18" spans="1:16" ht="17.25" x14ac:dyDescent="0.3">
      <c r="G18" s="15" t="s">
        <v>470</v>
      </c>
      <c r="H18" s="31" t="s">
        <v>1437</v>
      </c>
      <c r="I18" s="31"/>
      <c r="J18" s="29" t="s">
        <v>1763</v>
      </c>
    </row>
    <row r="19" spans="1:16" ht="17.25" x14ac:dyDescent="0.3">
      <c r="G19" s="14" t="s">
        <v>471</v>
      </c>
      <c r="H19" s="16" t="str">
        <f>D6</f>
        <v>29-03-2022..30-03-2022</v>
      </c>
      <c r="J19" s="25"/>
    </row>
    <row r="21" spans="1:16" x14ac:dyDescent="0.25">
      <c r="N21" s="3" t="s">
        <v>12</v>
      </c>
    </row>
    <row r="22" spans="1:16" x14ac:dyDescent="0.25">
      <c r="G22" s="1" t="s">
        <v>0</v>
      </c>
      <c r="I22" s="1" t="s">
        <v>1</v>
      </c>
      <c r="J22" s="3" t="s">
        <v>2</v>
      </c>
      <c r="K22" s="3" t="s">
        <v>3</v>
      </c>
      <c r="L22" s="3" t="s">
        <v>5</v>
      </c>
      <c r="M22" s="3" t="s">
        <v>4</v>
      </c>
      <c r="N22" s="3" t="s">
        <v>5</v>
      </c>
      <c r="O22" s="5" t="s">
        <v>239</v>
      </c>
      <c r="P22" s="1" t="s">
        <v>1762</v>
      </c>
    </row>
    <row r="23" spans="1:16" x14ac:dyDescent="0.25">
      <c r="J23" s="3"/>
      <c r="K23" s="3"/>
    </row>
    <row r="24" spans="1:16" ht="18.75" customHeight="1" x14ac:dyDescent="0.25">
      <c r="B24" t="str">
        <f>IF(G25="","Skjul","show")</f>
        <v>show</v>
      </c>
      <c r="C24" t="str">
        <f>E24</f>
        <v>325</v>
      </c>
      <c r="D24" t="str">
        <f>"""NAV"",""Helsam - Drift"",""23"",""1"",""325"""</f>
        <v>"NAV","Helsam - Drift","23","1","325"</v>
      </c>
      <c r="E24" t="str">
        <f>"325"</f>
        <v>325</v>
      </c>
      <c r="G24" s="24" t="str">
        <f>"BioVita A/S"</f>
        <v>BioVita A/S</v>
      </c>
      <c r="I24" s="8"/>
      <c r="J24" s="9"/>
      <c r="K24" s="9"/>
      <c r="L24" s="10"/>
      <c r="M24" s="10"/>
      <c r="N24" s="11"/>
    </row>
    <row r="25" spans="1:16" ht="16.5" customHeight="1" x14ac:dyDescent="0.3">
      <c r="B25" t="str">
        <f>IF(G25="","Skjul","show")</f>
        <v>show</v>
      </c>
      <c r="C25" t="str">
        <f>+C24</f>
        <v>325</v>
      </c>
      <c r="D25" s="4" t="str">
        <f>"""NAV"",""Helsam - Drift"",""27"",""1"",""7637"""</f>
        <v>"NAV","Helsam - Drift","27","1","7637"</v>
      </c>
      <c r="G25" s="17" t="str">
        <f>"7637"</f>
        <v>7637</v>
      </c>
      <c r="H25" s="23">
        <v>280</v>
      </c>
      <c r="I25" s="18" t="str">
        <f>"Zerochol "</f>
        <v xml:space="preserve">Zerochol </v>
      </c>
      <c r="J25" s="19" t="str">
        <f>"60 tab"</f>
        <v>60 tab</v>
      </c>
      <c r="K25" s="19">
        <v>1</v>
      </c>
      <c r="L25" s="20">
        <v>108.99999999999999</v>
      </c>
      <c r="M25" s="20">
        <v>217.99999999999997</v>
      </c>
      <c r="N25" s="21">
        <v>81.75</v>
      </c>
      <c r="O25" s="22">
        <f>IFERROR((L25-N25),"")</f>
        <v>27.249999999999986</v>
      </c>
      <c r="P25" s="27">
        <f>O25/L25</f>
        <v>0.24999999999999989</v>
      </c>
    </row>
    <row r="26" spans="1:16" ht="13.5" customHeight="1" x14ac:dyDescent="0.25">
      <c r="B26" t="str">
        <f>IF(G25="","Skjul","show")</f>
        <v>show</v>
      </c>
      <c r="D26" s="4"/>
      <c r="G26" s="8"/>
      <c r="H26" s="8"/>
      <c r="I26" s="28" t="s">
        <v>1764</v>
      </c>
      <c r="J26" s="8"/>
      <c r="K26" s="8"/>
      <c r="L26" s="8"/>
      <c r="M26" s="8"/>
      <c r="N26" s="8"/>
    </row>
    <row r="27" spans="1:16" x14ac:dyDescent="0.25">
      <c r="B27" t="str">
        <f>IF(G25="","Skjul","show")</f>
        <v>show</v>
      </c>
    </row>
    <row r="28" spans="1:16" ht="18.75" customHeight="1" x14ac:dyDescent="0.25">
      <c r="A28" t="s">
        <v>19</v>
      </c>
      <c r="B28" t="str">
        <f t="shared" ref="B28" si="0">IF(G29="","Skjul","show")</f>
        <v>show</v>
      </c>
      <c r="C28" t="str">
        <f t="shared" ref="C28" si="1">E28</f>
        <v>360</v>
      </c>
      <c r="D28" t="str">
        <f>"""NAV"",""Helsam - Drift"",""23"",""1"",""360"""</f>
        <v>"NAV","Helsam - Drift","23","1","360"</v>
      </c>
      <c r="E28" t="str">
        <f>"360"</f>
        <v>360</v>
      </c>
      <c r="G28" s="24" t="str">
        <f>"Börlind GmbH "</f>
        <v xml:space="preserve">Börlind GmbH </v>
      </c>
      <c r="I28" s="8"/>
      <c r="J28" s="9"/>
      <c r="K28" s="9"/>
      <c r="L28" s="10"/>
      <c r="M28" s="10"/>
      <c r="N28" s="11"/>
    </row>
    <row r="29" spans="1:16" ht="16.5" customHeight="1" x14ac:dyDescent="0.3">
      <c r="A29" t="s">
        <v>19</v>
      </c>
      <c r="B29" t="str">
        <f t="shared" ref="B29" si="2">IF(G29="","Skjul","show")</f>
        <v>show</v>
      </c>
      <c r="C29" t="str">
        <f t="shared" ref="C29" si="3">+C28</f>
        <v>360</v>
      </c>
      <c r="D29" s="4" t="str">
        <f>"""NAV"",""Helsam - Drift"",""27"",""1"",""23257"""</f>
        <v>"NAV","Helsam - Drift","27","1","23257"</v>
      </c>
      <c r="G29" s="17" t="str">
        <f>"23257"</f>
        <v>23257</v>
      </c>
      <c r="H29" s="23"/>
      <c r="I29" s="18" t="str">
        <f>"2 in 1 Black Mask  Börlind"</f>
        <v>2 in 1 Black Mask  Börlind</v>
      </c>
      <c r="J29" s="19" t="str">
        <f>"75 ml"</f>
        <v>75 ml</v>
      </c>
      <c r="K29" s="19">
        <v>3</v>
      </c>
      <c r="L29" s="20">
        <v>143.54</v>
      </c>
      <c r="M29" s="20">
        <v>299</v>
      </c>
      <c r="N29" s="21">
        <v>114.83</v>
      </c>
      <c r="O29" s="22">
        <f t="shared" ref="O29" si="4">IFERROR((L29-N29),"")</f>
        <v>28.709999999999994</v>
      </c>
      <c r="P29" s="27">
        <f>O29/L29</f>
        <v>0.20001393339835583</v>
      </c>
    </row>
    <row r="30" spans="1:16" ht="16.5" customHeight="1" x14ac:dyDescent="0.3">
      <c r="A30" t="s">
        <v>19</v>
      </c>
      <c r="B30" t="str">
        <f t="shared" ref="B30:B45" si="5">IF(G30="","Skjul","show")</f>
        <v>show</v>
      </c>
      <c r="C30" t="str">
        <f t="shared" ref="C30:C45" si="6">+C29</f>
        <v>360</v>
      </c>
      <c r="D30" s="4" t="str">
        <f>"""NAV"",""Helsam - Drift"",""27"",""1"",""23261"""</f>
        <v>"NAV","Helsam - Drift","27","1","23261"</v>
      </c>
      <c r="G30" s="17" t="str">
        <f>"23261"</f>
        <v>23261</v>
      </c>
      <c r="H30" s="23"/>
      <c r="I30" s="18" t="str">
        <f>"Anti-aging Cream Mask Annemarie Börlind"</f>
        <v>Anti-aging Cream Mask Annemarie Börlind</v>
      </c>
      <c r="J30" s="19" t="str">
        <f>"50 ml"</f>
        <v>50 ml</v>
      </c>
      <c r="K30" s="19">
        <v>3</v>
      </c>
      <c r="L30" s="20">
        <v>239.57000000000002</v>
      </c>
      <c r="M30" s="20">
        <v>498.99999999999994</v>
      </c>
      <c r="N30" s="21">
        <v>191.66</v>
      </c>
      <c r="O30" s="22">
        <f t="shared" ref="O30:O45" si="7">IFERROR((L30-N30),"")</f>
        <v>47.910000000000025</v>
      </c>
      <c r="P30" s="27">
        <f t="shared" ref="P30:P45" si="8">O30/L30</f>
        <v>0.19998330341862514</v>
      </c>
    </row>
    <row r="31" spans="1:16" ht="16.5" customHeight="1" x14ac:dyDescent="0.3">
      <c r="A31" t="s">
        <v>19</v>
      </c>
      <c r="B31" t="str">
        <f t="shared" si="5"/>
        <v>show</v>
      </c>
      <c r="C31" t="str">
        <f t="shared" si="6"/>
        <v>360</v>
      </c>
      <c r="D31" s="4" t="str">
        <f>"""NAV"",""Helsam - Drift"",""27"",""1"",""51529"""</f>
        <v>"NAV","Helsam - Drift","27","1","51529"</v>
      </c>
      <c r="G31" s="17" t="str">
        <f>"51529"</f>
        <v>51529</v>
      </c>
      <c r="H31" s="23"/>
      <c r="I31" s="18" t="str">
        <f>"Anti-Puff Eye Serum, 15ml "</f>
        <v xml:space="preserve">Anti-Puff Eye Serum, 15ml </v>
      </c>
      <c r="J31" s="19" t="str">
        <f>"15 ml"</f>
        <v>15 ml</v>
      </c>
      <c r="K31" s="19">
        <v>3</v>
      </c>
      <c r="L31" s="20">
        <v>114.74</v>
      </c>
      <c r="M31" s="20">
        <v>239</v>
      </c>
      <c r="N31" s="21">
        <v>91.79</v>
      </c>
      <c r="O31" s="22">
        <f t="shared" si="7"/>
        <v>22.949999999999989</v>
      </c>
      <c r="P31" s="27">
        <f t="shared" si="8"/>
        <v>0.20001743071291606</v>
      </c>
    </row>
    <row r="32" spans="1:16" ht="16.5" customHeight="1" x14ac:dyDescent="0.3">
      <c r="A32" t="s">
        <v>19</v>
      </c>
      <c r="B32" t="str">
        <f t="shared" si="5"/>
        <v>show</v>
      </c>
      <c r="C32" t="str">
        <f t="shared" si="6"/>
        <v>360</v>
      </c>
      <c r="D32" s="4" t="str">
        <f>"""NAV"",""Helsam - Drift"",""27"",""1"",""20416"""</f>
        <v>"NAV","Helsam - Drift","27","1","20416"</v>
      </c>
      <c r="G32" s="17" t="str">
        <f>"20416"</f>
        <v>20416</v>
      </c>
      <c r="H32" s="23"/>
      <c r="I32" s="18" t="str">
        <f>"Conditioner Annemarie Börlind "</f>
        <v xml:space="preserve">Conditioner Annemarie Börlind </v>
      </c>
      <c r="J32" s="19" t="str">
        <f>"125 ml"</f>
        <v>125 ml</v>
      </c>
      <c r="K32" s="19">
        <v>4</v>
      </c>
      <c r="L32" s="20">
        <v>57.59</v>
      </c>
      <c r="M32" s="20">
        <v>119.94999999999999</v>
      </c>
      <c r="N32" s="21">
        <v>46.07</v>
      </c>
      <c r="O32" s="22">
        <f t="shared" si="7"/>
        <v>11.520000000000003</v>
      </c>
      <c r="P32" s="27">
        <f t="shared" si="8"/>
        <v>0.20003472825143259</v>
      </c>
    </row>
    <row r="33" spans="1:16" ht="16.5" customHeight="1" x14ac:dyDescent="0.3">
      <c r="A33" t="s">
        <v>19</v>
      </c>
      <c r="B33" t="str">
        <f t="shared" si="5"/>
        <v>show</v>
      </c>
      <c r="C33" t="str">
        <f t="shared" si="6"/>
        <v>360</v>
      </c>
      <c r="D33" s="4" t="str">
        <f>"""NAV"",""Helsam - Drift"",""27"",""1"",""23086"""</f>
        <v>"NAV","Helsam - Drift","27","1","23086"</v>
      </c>
      <c r="G33" s="17" t="str">
        <f>"23086"</f>
        <v>23086</v>
      </c>
      <c r="H33" s="23"/>
      <c r="I33" s="18" t="str">
        <f>"Cooling Facial Gel EnergyNature"</f>
        <v>Cooling Facial Gel EnergyNature</v>
      </c>
      <c r="J33" s="19" t="str">
        <f>"150 ml"</f>
        <v>150 ml</v>
      </c>
      <c r="K33" s="19">
        <v>3</v>
      </c>
      <c r="L33" s="20">
        <v>109.94</v>
      </c>
      <c r="M33" s="20">
        <v>229</v>
      </c>
      <c r="N33" s="21">
        <v>87.95</v>
      </c>
      <c r="O33" s="22">
        <f t="shared" si="7"/>
        <v>21.989999999999995</v>
      </c>
      <c r="P33" s="27">
        <f t="shared" si="8"/>
        <v>0.20001819174094956</v>
      </c>
    </row>
    <row r="34" spans="1:16" ht="16.5" customHeight="1" x14ac:dyDescent="0.3">
      <c r="A34" t="s">
        <v>19</v>
      </c>
      <c r="B34" t="str">
        <f t="shared" si="5"/>
        <v>show</v>
      </c>
      <c r="C34" t="str">
        <f t="shared" si="6"/>
        <v>360</v>
      </c>
      <c r="D34" s="4" t="str">
        <f>"""NAV"",""Helsam - Drift"",""27"",""1"",""20415"""</f>
        <v>"NAV","Helsam - Drift","27","1","20415"</v>
      </c>
      <c r="G34" s="17" t="str">
        <f>"20415"</f>
        <v>20415</v>
      </c>
      <c r="H34" s="23"/>
      <c r="I34" s="18" t="str">
        <f>"Hair mask Annemarie Börlind "</f>
        <v xml:space="preserve">Hair mask Annemarie Börlind </v>
      </c>
      <c r="J34" s="19" t="str">
        <f>"125 ml"</f>
        <v>125 ml</v>
      </c>
      <c r="K34" s="19">
        <v>4</v>
      </c>
      <c r="L34" s="20">
        <v>57.59</v>
      </c>
      <c r="M34" s="20">
        <v>119.94999999999999</v>
      </c>
      <c r="N34" s="21">
        <v>46.07</v>
      </c>
      <c r="O34" s="22">
        <f t="shared" si="7"/>
        <v>11.520000000000003</v>
      </c>
      <c r="P34" s="27">
        <f t="shared" si="8"/>
        <v>0.20003472825143259</v>
      </c>
    </row>
    <row r="35" spans="1:16" ht="16.5" customHeight="1" x14ac:dyDescent="0.3">
      <c r="A35" t="s">
        <v>19</v>
      </c>
      <c r="B35" t="str">
        <f t="shared" si="5"/>
        <v>show</v>
      </c>
      <c r="C35" t="str">
        <f t="shared" si="6"/>
        <v>360</v>
      </c>
      <c r="D35" s="4" t="str">
        <f>"""NAV"",""Helsam - Drift"",""27"",""1"",""23260"""</f>
        <v>"NAV","Helsam - Drift","27","1","23260"</v>
      </c>
      <c r="G35" s="17" t="str">
        <f>"23260"</f>
        <v>23260</v>
      </c>
      <c r="H35" s="23"/>
      <c r="I35" s="18" t="str">
        <f>"Hydro Gel Mask  Börlind"</f>
        <v>Hydro Gel Mask  Börlind</v>
      </c>
      <c r="J35" s="19" t="str">
        <f>"75 ml"</f>
        <v>75 ml</v>
      </c>
      <c r="K35" s="19">
        <v>3</v>
      </c>
      <c r="L35" s="20">
        <v>143.54</v>
      </c>
      <c r="M35" s="20">
        <v>299</v>
      </c>
      <c r="N35" s="21">
        <v>114.83</v>
      </c>
      <c r="O35" s="22">
        <f t="shared" si="7"/>
        <v>28.709999999999994</v>
      </c>
      <c r="P35" s="27">
        <f t="shared" si="8"/>
        <v>0.20001393339835583</v>
      </c>
    </row>
    <row r="36" spans="1:16" ht="16.5" customHeight="1" x14ac:dyDescent="0.3">
      <c r="A36" t="s">
        <v>19</v>
      </c>
      <c r="B36" t="str">
        <f t="shared" si="5"/>
        <v>show</v>
      </c>
      <c r="C36" t="str">
        <f t="shared" si="6"/>
        <v>360</v>
      </c>
      <c r="D36" s="4" t="str">
        <f>"""NAV"",""Helsam - Drift"",""27"",""1"",""20417"""</f>
        <v>"NAV","Helsam - Drift","27","1","20417"</v>
      </c>
      <c r="G36" s="17" t="str">
        <f>"20417"</f>
        <v>20417</v>
      </c>
      <c r="H36" s="23"/>
      <c r="I36" s="18" t="str">
        <f>"Leave in hair spray Annemarie Börlind"</f>
        <v>Leave in hair spray Annemarie Börlind</v>
      </c>
      <c r="J36" s="19" t="str">
        <f>"100 ml"</f>
        <v>100 ml</v>
      </c>
      <c r="K36" s="19">
        <v>3</v>
      </c>
      <c r="L36" s="20">
        <v>57.59</v>
      </c>
      <c r="M36" s="20">
        <v>119.94999999999999</v>
      </c>
      <c r="N36" s="21">
        <v>46.07</v>
      </c>
      <c r="O36" s="22">
        <f t="shared" si="7"/>
        <v>11.520000000000003</v>
      </c>
      <c r="P36" s="27">
        <f t="shared" si="8"/>
        <v>0.20003472825143259</v>
      </c>
    </row>
    <row r="37" spans="1:16" ht="16.5" customHeight="1" x14ac:dyDescent="0.3">
      <c r="A37" t="s">
        <v>19</v>
      </c>
      <c r="B37" t="str">
        <f t="shared" si="5"/>
        <v>show</v>
      </c>
      <c r="C37" t="str">
        <f t="shared" si="6"/>
        <v>360</v>
      </c>
      <c r="D37" s="4" t="str">
        <f>"""NAV"",""Helsam - Drift"",""27"",""1"",""23083"""</f>
        <v>"NAV","Helsam - Drift","27","1","23083"</v>
      </c>
      <c r="G37" s="17" t="str">
        <f>"23083"</f>
        <v>23083</v>
      </c>
      <c r="H37" s="23"/>
      <c r="I37" s="18" t="str">
        <f>"Refreshing Cleansing Gel EnergyNature"</f>
        <v>Refreshing Cleansing Gel EnergyNature</v>
      </c>
      <c r="J37" s="19" t="str">
        <f>"125 ml"</f>
        <v>125 ml</v>
      </c>
      <c r="K37" s="19">
        <v>3</v>
      </c>
      <c r="L37" s="20">
        <v>95.990000000000009</v>
      </c>
      <c r="M37" s="20">
        <v>199.95</v>
      </c>
      <c r="N37" s="21">
        <v>76.790000000000006</v>
      </c>
      <c r="O37" s="22">
        <f t="shared" si="7"/>
        <v>19.200000000000003</v>
      </c>
      <c r="P37" s="27">
        <f t="shared" si="8"/>
        <v>0.20002083550369831</v>
      </c>
    </row>
    <row r="38" spans="1:16" ht="16.5" customHeight="1" x14ac:dyDescent="0.3">
      <c r="A38" t="s">
        <v>19</v>
      </c>
      <c r="B38" t="str">
        <f t="shared" si="5"/>
        <v>show</v>
      </c>
      <c r="C38" t="str">
        <f t="shared" si="6"/>
        <v>360</v>
      </c>
      <c r="D38" s="4" t="str">
        <f>"""NAV"",""Helsam - Drift"",""27"",""1"",""23085"""</f>
        <v>"NAV","Helsam - Drift","27","1","23085"</v>
      </c>
      <c r="G38" s="17" t="str">
        <f>"23085"</f>
        <v>23085</v>
      </c>
      <c r="H38" s="23"/>
      <c r="I38" s="18" t="str">
        <f>"Regenerative Night Cream EnergyNature"</f>
        <v>Regenerative Night Cream EnergyNature</v>
      </c>
      <c r="J38" s="19" t="str">
        <f>"50 ml"</f>
        <v>50 ml</v>
      </c>
      <c r="K38" s="19">
        <v>3</v>
      </c>
      <c r="L38" s="20">
        <v>143.54</v>
      </c>
      <c r="M38" s="20">
        <v>299</v>
      </c>
      <c r="N38" s="21">
        <v>114.83</v>
      </c>
      <c r="O38" s="22">
        <f t="shared" si="7"/>
        <v>28.709999999999994</v>
      </c>
      <c r="P38" s="27">
        <f t="shared" si="8"/>
        <v>0.20001393339835583</v>
      </c>
    </row>
    <row r="39" spans="1:16" ht="16.5" customHeight="1" x14ac:dyDescent="0.3">
      <c r="A39" t="s">
        <v>19</v>
      </c>
      <c r="B39" t="str">
        <f t="shared" si="5"/>
        <v>show</v>
      </c>
      <c r="C39" t="str">
        <f t="shared" si="6"/>
        <v>360</v>
      </c>
      <c r="D39" s="4" t="str">
        <f>"""NAV"",""Helsam - Drift"",""27"",""1"",""23258"""</f>
        <v>"NAV","Helsam - Drift","27","1","23258"</v>
      </c>
      <c r="G39" s="17" t="str">
        <f>"23258"</f>
        <v>23258</v>
      </c>
      <c r="H39" s="23"/>
      <c r="I39" s="18" t="str">
        <f>"Sensitive Cream Mask  Börlind"</f>
        <v>Sensitive Cream Mask  Börlind</v>
      </c>
      <c r="J39" s="19" t="str">
        <f>"75 ml"</f>
        <v>75 ml</v>
      </c>
      <c r="K39" s="19">
        <v>3</v>
      </c>
      <c r="L39" s="20">
        <v>143.54</v>
      </c>
      <c r="M39" s="20">
        <v>299</v>
      </c>
      <c r="N39" s="21">
        <v>114.83</v>
      </c>
      <c r="O39" s="22">
        <f t="shared" si="7"/>
        <v>28.709999999999994</v>
      </c>
      <c r="P39" s="27">
        <f t="shared" si="8"/>
        <v>0.20001393339835583</v>
      </c>
    </row>
    <row r="40" spans="1:16" ht="16.5" customHeight="1" x14ac:dyDescent="0.3">
      <c r="A40" t="s">
        <v>19</v>
      </c>
      <c r="B40" t="str">
        <f t="shared" si="5"/>
        <v>show</v>
      </c>
      <c r="C40" t="str">
        <f t="shared" si="6"/>
        <v>360</v>
      </c>
      <c r="D40" s="4" t="str">
        <f>"""NAV"",""Helsam - Drift"",""27"",""1"",""20411"""</f>
        <v>"NAV","Helsam - Drift","27","1","20411"</v>
      </c>
      <c r="G40" s="17" t="str">
        <f>"20411"</f>
        <v>20411</v>
      </c>
      <c r="H40" s="23"/>
      <c r="I40" s="18" t="str">
        <f>"Shampoo active til skæl Annemarie Börlind"</f>
        <v>Shampoo active til skæl Annemarie Börlind</v>
      </c>
      <c r="J40" s="19" t="str">
        <f>"200 ml"</f>
        <v>200 ml</v>
      </c>
      <c r="K40" s="19">
        <v>3</v>
      </c>
      <c r="L40" s="20">
        <v>52.79</v>
      </c>
      <c r="M40" s="20">
        <v>109.94999999999999</v>
      </c>
      <c r="N40" s="21">
        <v>42.230000000000004</v>
      </c>
      <c r="O40" s="22">
        <f t="shared" si="7"/>
        <v>10.559999999999995</v>
      </c>
      <c r="P40" s="27">
        <f t="shared" si="8"/>
        <v>0.20003788596325053</v>
      </c>
    </row>
    <row r="41" spans="1:16" ht="16.5" customHeight="1" x14ac:dyDescent="0.3">
      <c r="A41" t="s">
        <v>19</v>
      </c>
      <c r="B41" t="str">
        <f t="shared" si="5"/>
        <v>show</v>
      </c>
      <c r="C41" t="str">
        <f t="shared" si="6"/>
        <v>360</v>
      </c>
      <c r="D41" s="4" t="str">
        <f>"""NAV"",""Helsam - Drift"",""27"",""1"",""20410"""</f>
        <v>"NAV","Helsam - Drift","27","1","20410"</v>
      </c>
      <c r="G41" s="17" t="str">
        <f>"20410"</f>
        <v>20410</v>
      </c>
      <c r="H41" s="23"/>
      <c r="I41" s="18" t="str">
        <f>"Shampoo aqua til tørt hår  Annemarie Börlind"</f>
        <v>Shampoo aqua til tørt hår  Annemarie Börlind</v>
      </c>
      <c r="J41" s="19" t="str">
        <f>"200 ml"</f>
        <v>200 ml</v>
      </c>
      <c r="K41" s="19">
        <v>3</v>
      </c>
      <c r="L41" s="20">
        <v>52.79</v>
      </c>
      <c r="M41" s="20">
        <v>109.94999999999999</v>
      </c>
      <c r="N41" s="21">
        <v>42.230000000000004</v>
      </c>
      <c r="O41" s="22">
        <f t="shared" si="7"/>
        <v>10.559999999999995</v>
      </c>
      <c r="P41" s="27">
        <f t="shared" si="8"/>
        <v>0.20003788596325053</v>
      </c>
    </row>
    <row r="42" spans="1:16" ht="16.5" customHeight="1" x14ac:dyDescent="0.3">
      <c r="A42" t="s">
        <v>19</v>
      </c>
      <c r="B42" t="str">
        <f t="shared" si="5"/>
        <v>show</v>
      </c>
      <c r="C42" t="str">
        <f t="shared" si="6"/>
        <v>360</v>
      </c>
      <c r="D42" s="4" t="str">
        <f>"""NAV"",""Helsam - Drift"",""27"",""1"",""20412"""</f>
        <v>"NAV","Helsam - Drift","27","1","20412"</v>
      </c>
      <c r="G42" s="17" t="str">
        <f>"20412"</f>
        <v>20412</v>
      </c>
      <c r="H42" s="23"/>
      <c r="I42" s="18" t="str">
        <f>"Shampoo mild til hverdag  vask, børn Annemarie Börlind"</f>
        <v>Shampoo mild til hverdag  vask, børn Annemarie Börlind</v>
      </c>
      <c r="J42" s="19" t="str">
        <f>"200 ml"</f>
        <v>200 ml</v>
      </c>
      <c r="K42" s="19">
        <v>3</v>
      </c>
      <c r="L42" s="20">
        <v>52.79</v>
      </c>
      <c r="M42" s="20">
        <v>109.94999999999999</v>
      </c>
      <c r="N42" s="21">
        <v>42.230000000000004</v>
      </c>
      <c r="O42" s="22">
        <f t="shared" si="7"/>
        <v>10.559999999999995</v>
      </c>
      <c r="P42" s="27">
        <f t="shared" si="8"/>
        <v>0.20003788596325053</v>
      </c>
    </row>
    <row r="43" spans="1:16" ht="16.5" customHeight="1" x14ac:dyDescent="0.3">
      <c r="A43" t="s">
        <v>19</v>
      </c>
      <c r="B43" t="str">
        <f t="shared" si="5"/>
        <v>show</v>
      </c>
      <c r="C43" t="str">
        <f t="shared" si="6"/>
        <v>360</v>
      </c>
      <c r="D43" s="4" t="str">
        <f>"""NAV"",""Helsam - Drift"",""27"",""1"",""20414"""</f>
        <v>"NAV","Helsam - Drift","27","1","20414"</v>
      </c>
      <c r="G43" s="17" t="str">
        <f>"20414"</f>
        <v>20414</v>
      </c>
      <c r="H43" s="23"/>
      <c r="I43" s="18" t="str">
        <f>"Shampoo repair Annemarie Börlind"</f>
        <v>Shampoo repair Annemarie Börlind</v>
      </c>
      <c r="J43" s="19" t="str">
        <f>"200 ml"</f>
        <v>200 ml</v>
      </c>
      <c r="K43" s="19">
        <v>3</v>
      </c>
      <c r="L43" s="20">
        <v>52.79</v>
      </c>
      <c r="M43" s="20">
        <v>109.94999999999999</v>
      </c>
      <c r="N43" s="21">
        <v>42.230000000000004</v>
      </c>
      <c r="O43" s="22">
        <f t="shared" si="7"/>
        <v>10.559999999999995</v>
      </c>
      <c r="P43" s="27">
        <f t="shared" si="8"/>
        <v>0.20003788596325053</v>
      </c>
    </row>
    <row r="44" spans="1:16" ht="16.5" customHeight="1" x14ac:dyDescent="0.3">
      <c r="A44" t="s">
        <v>19</v>
      </c>
      <c r="B44" t="str">
        <f t="shared" si="5"/>
        <v>show</v>
      </c>
      <c r="C44" t="str">
        <f t="shared" si="6"/>
        <v>360</v>
      </c>
      <c r="D44" s="4" t="str">
        <f>"""NAV"",""Helsam - Drift"",""27"",""1"",""20413"""</f>
        <v>"NAV","Helsam - Drift","27","1","20413"</v>
      </c>
      <c r="G44" s="17" t="str">
        <f>"20413"</f>
        <v>20413</v>
      </c>
      <c r="H44" s="23"/>
      <c r="I44" s="18" t="str">
        <f>"Shampoo volume Annemarie Börlind"</f>
        <v>Shampoo volume Annemarie Börlind</v>
      </c>
      <c r="J44" s="19" t="str">
        <f>"200 ml"</f>
        <v>200 ml</v>
      </c>
      <c r="K44" s="19">
        <v>3</v>
      </c>
      <c r="L44" s="20">
        <v>52.79</v>
      </c>
      <c r="M44" s="20">
        <v>109.94999999999999</v>
      </c>
      <c r="N44" s="21">
        <v>42.230000000000004</v>
      </c>
      <c r="O44" s="22">
        <f t="shared" si="7"/>
        <v>10.559999999999995</v>
      </c>
      <c r="P44" s="27">
        <f t="shared" si="8"/>
        <v>0.20003788596325053</v>
      </c>
    </row>
    <row r="45" spans="1:16" ht="16.5" customHeight="1" x14ac:dyDescent="0.3">
      <c r="A45" t="s">
        <v>19</v>
      </c>
      <c r="B45" t="str">
        <f t="shared" si="5"/>
        <v>show</v>
      </c>
      <c r="C45" t="str">
        <f t="shared" si="6"/>
        <v>360</v>
      </c>
      <c r="D45" s="4" t="str">
        <f>"""NAV"",""Helsam - Drift"",""27"",""1"",""23084"""</f>
        <v>"NAV","Helsam - Drift","27","1","23084"</v>
      </c>
      <c r="G45" s="17" t="str">
        <f>"23084"</f>
        <v>23084</v>
      </c>
      <c r="H45" s="23"/>
      <c r="I45" s="18" t="str">
        <f>"Vitalizing Day Cream EnergyNature"</f>
        <v>Vitalizing Day Cream EnergyNature</v>
      </c>
      <c r="J45" s="19" t="str">
        <f>"50 ml"</f>
        <v>50 ml</v>
      </c>
      <c r="K45" s="19">
        <v>3</v>
      </c>
      <c r="L45" s="20">
        <v>119.53999999999999</v>
      </c>
      <c r="M45" s="20">
        <v>249</v>
      </c>
      <c r="N45" s="21">
        <v>95.63</v>
      </c>
      <c r="O45" s="22">
        <f t="shared" si="7"/>
        <v>23.909999999999997</v>
      </c>
      <c r="P45" s="27">
        <f t="shared" si="8"/>
        <v>0.20001673080140536</v>
      </c>
    </row>
    <row r="46" spans="1:16" ht="13.5" customHeight="1" x14ac:dyDescent="0.25">
      <c r="A46" t="s">
        <v>19</v>
      </c>
      <c r="B46" t="str">
        <f t="shared" ref="B46" si="9">IF(G29="","Skjul","show")</f>
        <v>show</v>
      </c>
      <c r="D46" s="4"/>
      <c r="G46" s="8"/>
      <c r="H46" s="8"/>
      <c r="I46" s="8"/>
      <c r="J46" s="8"/>
      <c r="K46" s="8"/>
      <c r="L46" s="8"/>
      <c r="M46" s="8"/>
      <c r="N46" s="8"/>
    </row>
    <row r="47" spans="1:16" x14ac:dyDescent="0.25">
      <c r="A47" t="s">
        <v>19</v>
      </c>
      <c r="B47" t="str">
        <f t="shared" ref="B47" si="10">IF(G29="","Skjul","show")</f>
        <v>show</v>
      </c>
    </row>
    <row r="48" spans="1:16" ht="18.75" customHeight="1" x14ac:dyDescent="0.25">
      <c r="A48" t="s">
        <v>19</v>
      </c>
      <c r="B48" t="str">
        <f t="shared" ref="B48" si="11">IF(G49="","Skjul","show")</f>
        <v>show</v>
      </c>
      <c r="C48" t="str">
        <f t="shared" ref="C48" si="12">E48</f>
        <v>590</v>
      </c>
      <c r="D48" t="str">
        <f>"""NAV"",""Helsam - Drift"",""23"",""1"",""590"""</f>
        <v>"NAV","Helsam - Drift","23","1","590"</v>
      </c>
      <c r="E48" t="str">
        <f>"590"</f>
        <v>590</v>
      </c>
      <c r="G48" s="24" t="str">
        <f>"Funkisfood ApS"</f>
        <v>Funkisfood ApS</v>
      </c>
      <c r="I48" s="8"/>
      <c r="J48" s="9"/>
      <c r="K48" s="9"/>
      <c r="L48" s="10"/>
      <c r="M48" s="10"/>
      <c r="N48" s="11"/>
    </row>
    <row r="49" spans="1:16" ht="16.5" customHeight="1" x14ac:dyDescent="0.3">
      <c r="A49" t="s">
        <v>19</v>
      </c>
      <c r="B49" t="str">
        <f t="shared" ref="B49" si="13">IF(G49="","Skjul","show")</f>
        <v>show</v>
      </c>
      <c r="C49" t="str">
        <f t="shared" ref="C49" si="14">+C48</f>
        <v>590</v>
      </c>
      <c r="D49" s="4" t="str">
        <f>"""NAV"",""Helsam - Drift"",""27"",""1"",""51611"""</f>
        <v>"NAV","Helsam - Drift","27","1","51611"</v>
      </c>
      <c r="G49" s="17" t="str">
        <f>"51611"</f>
        <v>51611</v>
      </c>
      <c r="H49" s="23"/>
      <c r="I49" s="18" t="str">
        <f>"Loppefrøskaller Ø "</f>
        <v xml:space="preserve">Loppefrøskaller Ø </v>
      </c>
      <c r="J49" s="19" t="str">
        <f>"175 kap"</f>
        <v>175 kap</v>
      </c>
      <c r="K49" s="19">
        <v>6</v>
      </c>
      <c r="L49" s="20">
        <v>74.8</v>
      </c>
      <c r="M49" s="20">
        <v>149.94999999999999</v>
      </c>
      <c r="N49" s="21">
        <v>63.580000000000005</v>
      </c>
      <c r="O49" s="22">
        <f t="shared" ref="O49" si="15">IFERROR((L49-N49),"")</f>
        <v>11.219999999999992</v>
      </c>
      <c r="P49" s="27">
        <f t="shared" ref="P49:P51" si="16">O49/L49</f>
        <v>0.14999999999999988</v>
      </c>
    </row>
    <row r="50" spans="1:16" ht="16.5" customHeight="1" x14ac:dyDescent="0.3">
      <c r="A50" t="s">
        <v>19</v>
      </c>
      <c r="B50" t="str">
        <f t="shared" ref="B50:B51" si="17">IF(G50="","Skjul","show")</f>
        <v>show</v>
      </c>
      <c r="C50" t="str">
        <f t="shared" ref="C50:C51" si="18">+C49</f>
        <v>590</v>
      </c>
      <c r="D50" s="4" t="str">
        <f>"""NAV"",""Helsam - Drift"",""27"",""1"",""51612"""</f>
        <v>"NAV","Helsam - Drift","27","1","51612"</v>
      </c>
      <c r="G50" s="17" t="str">
        <f>"51612"</f>
        <v>51612</v>
      </c>
      <c r="H50" s="23"/>
      <c r="I50" s="18" t="str">
        <f>"Loppefrøskaller Ø "</f>
        <v xml:space="preserve">Loppefrøskaller Ø </v>
      </c>
      <c r="J50" s="19" t="str">
        <f>"150 gr"</f>
        <v>150 gr</v>
      </c>
      <c r="K50" s="19">
        <v>6</v>
      </c>
      <c r="L50" s="20">
        <v>29.8</v>
      </c>
      <c r="M50" s="20">
        <v>64.95</v>
      </c>
      <c r="N50" s="21">
        <v>25.33</v>
      </c>
      <c r="O50" s="22">
        <f t="shared" ref="O50:O51" si="19">IFERROR((L50-N50),"")</f>
        <v>4.4700000000000024</v>
      </c>
      <c r="P50" s="27">
        <f t="shared" si="16"/>
        <v>0.15000000000000008</v>
      </c>
    </row>
    <row r="51" spans="1:16" ht="16.5" customHeight="1" x14ac:dyDescent="0.3">
      <c r="A51" t="s">
        <v>19</v>
      </c>
      <c r="B51" t="str">
        <f t="shared" si="17"/>
        <v>show</v>
      </c>
      <c r="C51" t="str">
        <f t="shared" si="18"/>
        <v>590</v>
      </c>
      <c r="D51" s="4" t="str">
        <f>"""NAV"",""Helsam - Drift"",""27"",""1"",""51613"""</f>
        <v>"NAV","Helsam - Drift","27","1","51613"</v>
      </c>
      <c r="G51" s="17" t="str">
        <f>"51613"</f>
        <v>51613</v>
      </c>
      <c r="H51" s="23"/>
      <c r="I51" s="18" t="str">
        <f>"Loppefrøskaller Ø "</f>
        <v xml:space="preserve">Loppefrøskaller Ø </v>
      </c>
      <c r="J51" s="19" t="str">
        <f>"375 gr"</f>
        <v>375 gr</v>
      </c>
      <c r="K51" s="19">
        <v>5</v>
      </c>
      <c r="L51" s="20">
        <v>50.21</v>
      </c>
      <c r="M51" s="20">
        <v>99.949999999999989</v>
      </c>
      <c r="N51" s="21">
        <v>42.68</v>
      </c>
      <c r="O51" s="22">
        <f t="shared" si="19"/>
        <v>7.5300000000000011</v>
      </c>
      <c r="P51" s="27">
        <f t="shared" si="16"/>
        <v>0.14997012547301336</v>
      </c>
    </row>
    <row r="52" spans="1:16" ht="13.5" customHeight="1" x14ac:dyDescent="0.25">
      <c r="A52" t="s">
        <v>19</v>
      </c>
      <c r="B52" t="str">
        <f t="shared" ref="B52" si="20">IF(G49="","Skjul","show")</f>
        <v>show</v>
      </c>
      <c r="D52" s="4"/>
      <c r="G52" s="8"/>
      <c r="H52" s="8"/>
      <c r="I52" s="8"/>
      <c r="J52" s="8"/>
      <c r="K52" s="8"/>
      <c r="L52" s="8"/>
      <c r="M52" s="8"/>
      <c r="N52" s="8"/>
    </row>
    <row r="53" spans="1:16" x14ac:dyDescent="0.25">
      <c r="A53" t="s">
        <v>19</v>
      </c>
      <c r="B53" t="str">
        <f t="shared" ref="B53" si="21">IF(G49="","Skjul","show")</f>
        <v>show</v>
      </c>
    </row>
    <row r="54" spans="1:16" ht="18.75" customHeight="1" x14ac:dyDescent="0.25">
      <c r="A54" t="s">
        <v>19</v>
      </c>
      <c r="B54" t="str">
        <f t="shared" ref="B54" si="22">IF(G55="","Skjul","show")</f>
        <v>show</v>
      </c>
      <c r="C54" t="str">
        <f t="shared" ref="C54" si="23">E54</f>
        <v>270</v>
      </c>
      <c r="D54" t="str">
        <f>"""NAV"",""Helsam - Drift"",""23"",""1"",""270"""</f>
        <v>"NAV","Helsam - Drift","23","1","270"</v>
      </c>
      <c r="E54" t="str">
        <f>"270"</f>
        <v>270</v>
      </c>
      <c r="G54" s="24" t="str">
        <f>"Lavera"</f>
        <v>Lavera</v>
      </c>
      <c r="I54" s="8"/>
      <c r="J54" s="9"/>
      <c r="K54" s="9"/>
      <c r="L54" s="10"/>
      <c r="M54" s="10"/>
      <c r="N54" s="11"/>
    </row>
    <row r="55" spans="1:16" ht="16.5" customHeight="1" x14ac:dyDescent="0.3">
      <c r="A55" t="s">
        <v>19</v>
      </c>
      <c r="B55" t="str">
        <f t="shared" ref="B55" si="24">IF(G55="","Skjul","show")</f>
        <v>show</v>
      </c>
      <c r="C55" t="str">
        <f t="shared" ref="C55" si="25">+C54</f>
        <v>270</v>
      </c>
      <c r="D55" s="4" t="str">
        <f>"""NAV"",""Helsam - Drift"",""27"",""1"",""21545"""</f>
        <v>"NAV","Helsam - Drift","27","1","21545"</v>
      </c>
      <c r="G55" s="17" t="str">
        <f>"21545"</f>
        <v>21545</v>
      </c>
      <c r="H55" s="23"/>
      <c r="I55" s="18" t="str">
        <f>"After Shave Men Sensitiv "</f>
        <v xml:space="preserve">After Shave Men Sensitiv </v>
      </c>
      <c r="J55" s="19" t="str">
        <f>"50 ml"</f>
        <v>50 ml</v>
      </c>
      <c r="K55" s="19">
        <v>4</v>
      </c>
      <c r="L55" s="20">
        <v>33.58</v>
      </c>
      <c r="M55" s="20">
        <v>69.95</v>
      </c>
      <c r="N55" s="21">
        <v>26.86</v>
      </c>
      <c r="O55" s="22">
        <f t="shared" ref="O55" si="26">IFERROR((L55-N55),"")</f>
        <v>6.7199999999999989</v>
      </c>
      <c r="P55" s="27">
        <f t="shared" ref="P55:P73" si="27">O55/L55</f>
        <v>0.20011911852293029</v>
      </c>
    </row>
    <row r="56" spans="1:16" ht="16.5" customHeight="1" x14ac:dyDescent="0.3">
      <c r="A56" t="s">
        <v>19</v>
      </c>
      <c r="B56" t="str">
        <f t="shared" ref="B56:B73" si="28">IF(G56="","Skjul","show")</f>
        <v>show</v>
      </c>
      <c r="C56" t="str">
        <f t="shared" ref="C56:C73" si="29">+C55</f>
        <v>270</v>
      </c>
      <c r="D56" s="4" t="str">
        <f>"""NAV"",""Helsam - Drift"",""27"",""1"",""21126"""</f>
        <v>"NAV","Helsam - Drift","27","1","21126"</v>
      </c>
      <c r="G56" s="17" t="str">
        <f>"21126"</f>
        <v>21126</v>
      </c>
      <c r="H56" s="23"/>
      <c r="I56" s="18" t="str">
        <f>"All-Round Cream - mini Basis Sensitiv "</f>
        <v xml:space="preserve">All-Round Cream - mini Basis Sensitiv </v>
      </c>
      <c r="J56" s="19" t="str">
        <f>"25 ml"</f>
        <v>25 ml</v>
      </c>
      <c r="K56" s="19">
        <v>20</v>
      </c>
      <c r="L56" s="20">
        <v>11.98</v>
      </c>
      <c r="M56" s="20">
        <v>24.950000000000003</v>
      </c>
      <c r="N56" s="21">
        <v>9.58</v>
      </c>
      <c r="O56" s="22">
        <f t="shared" ref="O56:O73" si="30">IFERROR((L56-N56),"")</f>
        <v>2.4000000000000004</v>
      </c>
      <c r="P56" s="27">
        <f t="shared" si="27"/>
        <v>0.20033388981636063</v>
      </c>
    </row>
    <row r="57" spans="1:16" ht="16.5" customHeight="1" x14ac:dyDescent="0.3">
      <c r="A57" t="s">
        <v>19</v>
      </c>
      <c r="B57" t="str">
        <f t="shared" si="28"/>
        <v>show</v>
      </c>
      <c r="C57" t="str">
        <f t="shared" si="29"/>
        <v>270</v>
      </c>
      <c r="D57" s="4" t="str">
        <f>"""NAV"",""Helsam - Drift"",""27"",""1"",""51089"""</f>
        <v>"NAV","Helsam - Drift","27","1","51089"</v>
      </c>
      <c r="G57" s="17" t="str">
        <f>"51089"</f>
        <v>51089</v>
      </c>
      <c r="H57" s="23"/>
      <c r="I57" s="18" t="str">
        <f>"All-Round Creme Basis sensitiv "</f>
        <v xml:space="preserve">All-Round Creme Basis sensitiv </v>
      </c>
      <c r="J57" s="19" t="str">
        <f>"150 ml"</f>
        <v>150 ml</v>
      </c>
      <c r="K57" s="19">
        <v>4</v>
      </c>
      <c r="L57" s="20">
        <v>35.979999999999997</v>
      </c>
      <c r="M57" s="20">
        <v>74.95</v>
      </c>
      <c r="N57" s="21">
        <v>28.78</v>
      </c>
      <c r="O57" s="22">
        <f t="shared" si="30"/>
        <v>7.1999999999999957</v>
      </c>
      <c r="P57" s="27">
        <f t="shared" si="27"/>
        <v>0.20011117287381869</v>
      </c>
    </row>
    <row r="58" spans="1:16" ht="16.5" customHeight="1" x14ac:dyDescent="0.3">
      <c r="A58" t="s">
        <v>19</v>
      </c>
      <c r="B58" t="str">
        <f t="shared" si="28"/>
        <v>show</v>
      </c>
      <c r="C58" t="str">
        <f t="shared" si="29"/>
        <v>270</v>
      </c>
      <c r="D58" s="4" t="str">
        <f>"""NAV"",""Helsam - Drift"",""27"",""1"",""27482"""</f>
        <v>"NAV","Helsam - Drift","27","1","27482"</v>
      </c>
      <c r="G58" s="17" t="str">
        <f>"27482"</f>
        <v>27482</v>
      </c>
      <c r="H58" s="23"/>
      <c r="I58" s="18" t="str">
        <f>"Body Cream Soft Moisturising Basis sensitiv creme"</f>
        <v>Body Cream Soft Moisturising Basis sensitiv creme</v>
      </c>
      <c r="J58" s="19" t="str">
        <f>"150 ml"</f>
        <v>150 ml</v>
      </c>
      <c r="K58" s="19">
        <v>4</v>
      </c>
      <c r="L58" s="20">
        <v>33.58</v>
      </c>
      <c r="M58" s="20">
        <v>69.95</v>
      </c>
      <c r="N58" s="21">
        <v>26.86</v>
      </c>
      <c r="O58" s="22">
        <f t="shared" si="30"/>
        <v>6.7199999999999989</v>
      </c>
      <c r="P58" s="27">
        <f t="shared" si="27"/>
        <v>0.20011911852293029</v>
      </c>
    </row>
    <row r="59" spans="1:16" ht="16.5" customHeight="1" x14ac:dyDescent="0.3">
      <c r="A59" t="s">
        <v>19</v>
      </c>
      <c r="B59" t="str">
        <f t="shared" si="28"/>
        <v>show</v>
      </c>
      <c r="C59" t="str">
        <f t="shared" si="29"/>
        <v>270</v>
      </c>
      <c r="D59" s="4" t="str">
        <f>"""NAV"",""Helsam - Drift"",""27"",""1"",""51087"""</f>
        <v>"NAV","Helsam - Drift","27","1","51087"</v>
      </c>
      <c r="G59" s="17" t="str">
        <f>"51087"</f>
        <v>51087</v>
      </c>
      <c r="H59" s="23"/>
      <c r="I59" s="18" t="str">
        <f>"Body Lotion Delicate "</f>
        <v xml:space="preserve">Body Lotion Delicate </v>
      </c>
      <c r="J59" s="19" t="str">
        <f>"200 ml"</f>
        <v>200 ml</v>
      </c>
      <c r="K59" s="19">
        <v>4</v>
      </c>
      <c r="L59" s="20">
        <v>43.18</v>
      </c>
      <c r="M59" s="20">
        <v>89.95</v>
      </c>
      <c r="N59" s="21">
        <v>34.54</v>
      </c>
      <c r="O59" s="22">
        <f t="shared" si="30"/>
        <v>8.64</v>
      </c>
      <c r="P59" s="27">
        <f t="shared" si="27"/>
        <v>0.20009263547938863</v>
      </c>
    </row>
    <row r="60" spans="1:16" ht="16.5" customHeight="1" x14ac:dyDescent="0.3">
      <c r="A60" t="s">
        <v>19</v>
      </c>
      <c r="B60" t="str">
        <f t="shared" si="28"/>
        <v>show</v>
      </c>
      <c r="C60" t="str">
        <f t="shared" si="29"/>
        <v>270</v>
      </c>
      <c r="D60" s="4" t="str">
        <f>"""NAV"",""Helsam - Drift"",""27"",""1"",""51086"""</f>
        <v>"NAV","Helsam - Drift","27","1","51086"</v>
      </c>
      <c r="G60" s="17" t="str">
        <f>"51086"</f>
        <v>51086</v>
      </c>
      <c r="H60" s="23"/>
      <c r="I60" s="18" t="str">
        <f>"Body Lotion Express Basis sensitiv  "</f>
        <v xml:space="preserve">Body Lotion Express Basis sensitiv  </v>
      </c>
      <c r="J60" s="19" t="str">
        <f>"250 ml"</f>
        <v>250 ml</v>
      </c>
      <c r="K60" s="19">
        <v>4</v>
      </c>
      <c r="L60" s="20">
        <v>47.980000000000004</v>
      </c>
      <c r="M60" s="20">
        <v>99.949999999999989</v>
      </c>
      <c r="N60" s="21">
        <v>38.380000000000003</v>
      </c>
      <c r="O60" s="22">
        <f t="shared" si="30"/>
        <v>9.6000000000000014</v>
      </c>
      <c r="P60" s="27">
        <f t="shared" si="27"/>
        <v>0.20008336807002919</v>
      </c>
    </row>
    <row r="61" spans="1:16" ht="16.5" customHeight="1" x14ac:dyDescent="0.3">
      <c r="A61" t="s">
        <v>19</v>
      </c>
      <c r="B61" t="str">
        <f t="shared" si="28"/>
        <v>show</v>
      </c>
      <c r="C61" t="str">
        <f t="shared" si="29"/>
        <v>270</v>
      </c>
      <c r="D61" s="4" t="str">
        <f>"""NAV"",""Helsam - Drift"",""27"",""1"",""51085"""</f>
        <v>"NAV","Helsam - Drift","27","1","51085"</v>
      </c>
      <c r="G61" s="17" t="str">
        <f>"51085"</f>
        <v>51085</v>
      </c>
      <c r="H61" s="23"/>
      <c r="I61" s="18" t="str">
        <f>"Body Lotion Firming, Q10, Basis sensitiv "</f>
        <v xml:space="preserve">Body Lotion Firming, Q10, Basis sensitiv </v>
      </c>
      <c r="J61" s="19" t="str">
        <f>"250 ml"</f>
        <v>250 ml</v>
      </c>
      <c r="K61" s="19">
        <v>4</v>
      </c>
      <c r="L61" s="20">
        <v>47.980000000000004</v>
      </c>
      <c r="M61" s="20">
        <v>99.949999999999989</v>
      </c>
      <c r="N61" s="21">
        <v>38.380000000000003</v>
      </c>
      <c r="O61" s="22">
        <f t="shared" si="30"/>
        <v>9.6000000000000014</v>
      </c>
      <c r="P61" s="27">
        <f t="shared" si="27"/>
        <v>0.20008336807002919</v>
      </c>
    </row>
    <row r="62" spans="1:16" ht="16.5" customHeight="1" x14ac:dyDescent="0.3">
      <c r="A62" t="s">
        <v>19</v>
      </c>
      <c r="B62" t="str">
        <f t="shared" si="28"/>
        <v>show</v>
      </c>
      <c r="C62" t="str">
        <f t="shared" si="29"/>
        <v>270</v>
      </c>
      <c r="D62" s="4" t="str">
        <f>"""NAV"",""Helsam - Drift"",""27"",""1"",""51088"""</f>
        <v>"NAV","Helsam - Drift","27","1","51088"</v>
      </c>
      <c r="G62" s="17" t="str">
        <f>"51088"</f>
        <v>51088</v>
      </c>
      <c r="H62" s="23"/>
      <c r="I62" s="18" t="str">
        <f>"Body Lotion Regenerating "</f>
        <v xml:space="preserve">Body Lotion Regenerating </v>
      </c>
      <c r="J62" s="19" t="str">
        <f>"200 ml"</f>
        <v>200 ml</v>
      </c>
      <c r="K62" s="19">
        <v>4</v>
      </c>
      <c r="L62" s="20">
        <v>43.18</v>
      </c>
      <c r="M62" s="20">
        <v>89.95</v>
      </c>
      <c r="N62" s="21">
        <v>34.54</v>
      </c>
      <c r="O62" s="22">
        <f t="shared" si="30"/>
        <v>8.64</v>
      </c>
      <c r="P62" s="27">
        <f t="shared" si="27"/>
        <v>0.20009263547938863</v>
      </c>
    </row>
    <row r="63" spans="1:16" ht="16.5" customHeight="1" x14ac:dyDescent="0.3">
      <c r="A63" t="s">
        <v>19</v>
      </c>
      <c r="B63" t="str">
        <f t="shared" si="28"/>
        <v>show</v>
      </c>
      <c r="C63" t="str">
        <f t="shared" si="29"/>
        <v>270</v>
      </c>
      <c r="D63" s="4" t="str">
        <f>"""NAV"",""Helsam - Drift"",""27"",""1"",""51084"""</f>
        <v>"NAV","Helsam - Drift","27","1","51084"</v>
      </c>
      <c r="G63" s="17" t="str">
        <f>"51084"</f>
        <v>51084</v>
      </c>
      <c r="H63" s="23"/>
      <c r="I63" s="18" t="str">
        <f>"Body Lotion Rich Basis sensitiv "</f>
        <v xml:space="preserve">Body Lotion Rich Basis sensitiv </v>
      </c>
      <c r="J63" s="19" t="str">
        <f>"250 ml"</f>
        <v>250 ml</v>
      </c>
      <c r="K63" s="19">
        <v>4</v>
      </c>
      <c r="L63" s="20">
        <v>47.980000000000004</v>
      </c>
      <c r="M63" s="20">
        <v>99.949999999999989</v>
      </c>
      <c r="N63" s="21">
        <v>38.380000000000003</v>
      </c>
      <c r="O63" s="22">
        <f t="shared" si="30"/>
        <v>9.6000000000000014</v>
      </c>
      <c r="P63" s="27">
        <f t="shared" si="27"/>
        <v>0.20008336807002919</v>
      </c>
    </row>
    <row r="64" spans="1:16" ht="16.5" customHeight="1" x14ac:dyDescent="0.3">
      <c r="A64" t="s">
        <v>19</v>
      </c>
      <c r="B64" t="str">
        <f t="shared" si="28"/>
        <v>show</v>
      </c>
      <c r="C64" t="str">
        <f t="shared" si="29"/>
        <v>270</v>
      </c>
      <c r="D64" s="4" t="str">
        <f>"""NAV"",""Helsam - Drift"",""27"",""1"",""21544"""</f>
        <v>"NAV","Helsam - Drift","27","1","21544"</v>
      </c>
      <c r="G64" s="17" t="str">
        <f>"21544"</f>
        <v>21544</v>
      </c>
      <c r="H64" s="23"/>
      <c r="I64" s="18" t="str">
        <f>"Gentle Shaving Foam Men Sensitiv "</f>
        <v xml:space="preserve">Gentle Shaving Foam Men Sensitiv </v>
      </c>
      <c r="J64" s="19" t="str">
        <f>"150 ml"</f>
        <v>150 ml</v>
      </c>
      <c r="K64" s="19">
        <v>4</v>
      </c>
      <c r="L64" s="20">
        <v>33.58</v>
      </c>
      <c r="M64" s="20">
        <v>69.95</v>
      </c>
      <c r="N64" s="21">
        <v>26.86</v>
      </c>
      <c r="O64" s="22">
        <f t="shared" si="30"/>
        <v>6.7199999999999989</v>
      </c>
      <c r="P64" s="27">
        <f t="shared" si="27"/>
        <v>0.20011911852293029</v>
      </c>
    </row>
    <row r="65" spans="1:16" ht="16.5" customHeight="1" x14ac:dyDescent="0.3">
      <c r="A65" t="s">
        <v>19</v>
      </c>
      <c r="B65" t="str">
        <f t="shared" si="28"/>
        <v>show</v>
      </c>
      <c r="C65" t="str">
        <f t="shared" si="29"/>
        <v>270</v>
      </c>
      <c r="D65" s="4" t="str">
        <f>"""NAV"",""Helsam - Drift"",""27"",""1"",""51426"""</f>
        <v>"NAV","Helsam - Drift","27","1","51426"</v>
      </c>
      <c r="G65" s="17" t="str">
        <f>"51426"</f>
        <v>51426</v>
      </c>
      <c r="H65" s="23"/>
      <c r="I65" s="18" t="str">
        <f>"Hand Cream Basis Sensitive "</f>
        <v xml:space="preserve">Hand Cream Basis Sensitive </v>
      </c>
      <c r="J65" s="19" t="str">
        <f>"75 ml"</f>
        <v>75 ml</v>
      </c>
      <c r="K65" s="19">
        <v>4</v>
      </c>
      <c r="L65" s="20">
        <v>21.58</v>
      </c>
      <c r="M65" s="20">
        <v>44.95</v>
      </c>
      <c r="N65" s="21">
        <v>17.260000000000002</v>
      </c>
      <c r="O65" s="22">
        <f t="shared" si="30"/>
        <v>4.3199999999999967</v>
      </c>
      <c r="P65" s="27">
        <f t="shared" si="27"/>
        <v>0.2001853568118627</v>
      </c>
    </row>
    <row r="66" spans="1:16" ht="16.5" customHeight="1" x14ac:dyDescent="0.3">
      <c r="A66" t="s">
        <v>19</v>
      </c>
      <c r="B66" t="str">
        <f t="shared" si="28"/>
        <v>show</v>
      </c>
      <c r="C66" t="str">
        <f t="shared" si="29"/>
        <v>270</v>
      </c>
      <c r="D66" s="4" t="str">
        <f>"""NAV"",""Helsam - Drift"",""27"",""1"",""21546"""</f>
        <v>"NAV","Helsam - Drift","27","1","21546"</v>
      </c>
      <c r="G66" s="17" t="str">
        <f>"21546"</f>
        <v>21546</v>
      </c>
      <c r="H66" s="23"/>
      <c r="I66" s="18" t="str">
        <f>"Moisturising Cream Men Sensitive  nærende Lavera"</f>
        <v>Moisturising Cream Men Sensitive  nærende Lavera</v>
      </c>
      <c r="J66" s="19" t="str">
        <f>"30 ml"</f>
        <v>30 ml</v>
      </c>
      <c r="K66" s="19">
        <v>4</v>
      </c>
      <c r="L66" s="20">
        <v>45.58</v>
      </c>
      <c r="M66" s="20">
        <v>94.95</v>
      </c>
      <c r="N66" s="21">
        <v>36.46</v>
      </c>
      <c r="O66" s="22">
        <f t="shared" si="30"/>
        <v>9.1199999999999974</v>
      </c>
      <c r="P66" s="27">
        <f t="shared" si="27"/>
        <v>0.20008775778850368</v>
      </c>
    </row>
    <row r="67" spans="1:16" ht="16.5" customHeight="1" x14ac:dyDescent="0.3">
      <c r="A67" t="s">
        <v>19</v>
      </c>
      <c r="B67" t="str">
        <f t="shared" si="28"/>
        <v>show</v>
      </c>
      <c r="C67" t="str">
        <f t="shared" si="29"/>
        <v>270</v>
      </c>
      <c r="D67" s="4" t="str">
        <f>"""NAV"",""Helsam - Drift"",""27"",""1"",""21548"""</f>
        <v>"NAV","Helsam - Drift","27","1","21548"</v>
      </c>
      <c r="G67" s="17" t="str">
        <f>"21548"</f>
        <v>21548</v>
      </c>
      <c r="H67" s="23"/>
      <c r="I67" s="18" t="str">
        <f>"Roll-on Deodorant Men Sensitiv  "</f>
        <v xml:space="preserve">Roll-on Deodorant Men Sensitiv  </v>
      </c>
      <c r="J67" s="19" t="str">
        <f>"50 ml"</f>
        <v>50 ml</v>
      </c>
      <c r="K67" s="19">
        <v>4</v>
      </c>
      <c r="L67" s="20">
        <v>33.58</v>
      </c>
      <c r="M67" s="20">
        <v>69.95</v>
      </c>
      <c r="N67" s="21">
        <v>26.86</v>
      </c>
      <c r="O67" s="22">
        <f t="shared" si="30"/>
        <v>6.7199999999999989</v>
      </c>
      <c r="P67" s="27">
        <f t="shared" si="27"/>
        <v>0.20011911852293029</v>
      </c>
    </row>
    <row r="68" spans="1:16" ht="16.5" customHeight="1" x14ac:dyDescent="0.3">
      <c r="A68" t="s">
        <v>19</v>
      </c>
      <c r="B68" t="str">
        <f t="shared" si="28"/>
        <v>show</v>
      </c>
      <c r="C68" t="str">
        <f t="shared" si="29"/>
        <v>270</v>
      </c>
      <c r="D68" s="4" t="str">
        <f>"""NAV"",""Helsam - Drift"",""27"",""1"",""21547"""</f>
        <v>"NAV","Helsam - Drift","27","1","21547"</v>
      </c>
      <c r="G68" s="17" t="str">
        <f>"21547"</f>
        <v>21547</v>
      </c>
      <c r="H68" s="23"/>
      <c r="I68" s="18" t="str">
        <f>"Shower Gel 3 in 1 - Men Sensitive - Lavera"</f>
        <v>Shower Gel 3 in 1 - Men Sensitive - Lavera</v>
      </c>
      <c r="J68" s="19" t="str">
        <f>"200 ml"</f>
        <v>200 ml</v>
      </c>
      <c r="K68" s="19">
        <v>4</v>
      </c>
      <c r="L68" s="20">
        <v>28.78</v>
      </c>
      <c r="M68" s="20">
        <v>59.95</v>
      </c>
      <c r="N68" s="21">
        <v>23.02</v>
      </c>
      <c r="O68" s="22">
        <f t="shared" si="30"/>
        <v>5.7600000000000016</v>
      </c>
      <c r="P68" s="27">
        <f t="shared" si="27"/>
        <v>0.20013898540653235</v>
      </c>
    </row>
    <row r="69" spans="1:16" ht="16.5" customHeight="1" x14ac:dyDescent="0.3">
      <c r="A69" t="s">
        <v>19</v>
      </c>
      <c r="B69" t="str">
        <f t="shared" si="28"/>
        <v>show</v>
      </c>
      <c r="C69" t="str">
        <f t="shared" si="29"/>
        <v>270</v>
      </c>
      <c r="D69" s="4" t="str">
        <f>"""NAV"",""Helsam - Drift"",""27"",""1"",""21676"""</f>
        <v>"NAV","Helsam - Drift","27","1","21676"</v>
      </c>
      <c r="G69" s="17" t="str">
        <f>"21676"</f>
        <v>21676</v>
      </c>
      <c r="H69" s="23"/>
      <c r="I69" s="18" t="str">
        <f>"Toothpaste complete care "</f>
        <v xml:space="preserve">Toothpaste complete care </v>
      </c>
      <c r="J69" s="19" t="str">
        <f>"75 ml"</f>
        <v>75 ml</v>
      </c>
      <c r="K69" s="19">
        <v>4</v>
      </c>
      <c r="L69" s="20">
        <v>19.18</v>
      </c>
      <c r="M69" s="20">
        <v>39.950000000000003</v>
      </c>
      <c r="N69" s="21">
        <v>15.34</v>
      </c>
      <c r="O69" s="22">
        <f t="shared" si="30"/>
        <v>3.84</v>
      </c>
      <c r="P69" s="27">
        <f t="shared" si="27"/>
        <v>0.20020855057351408</v>
      </c>
    </row>
    <row r="70" spans="1:16" ht="16.5" customHeight="1" x14ac:dyDescent="0.3">
      <c r="A70" t="s">
        <v>19</v>
      </c>
      <c r="B70" t="str">
        <f t="shared" si="28"/>
        <v>show</v>
      </c>
      <c r="C70" t="str">
        <f t="shared" si="29"/>
        <v>270</v>
      </c>
      <c r="D70" s="4" t="str">
        <f>"""NAV"",""Helsam - Drift"",""27"",""1"",""21677"""</f>
        <v>"NAV","Helsam - Drift","27","1","21677"</v>
      </c>
      <c r="G70" s="17" t="str">
        <f>"21677"</f>
        <v>21677</v>
      </c>
      <c r="H70" s="23"/>
      <c r="I70" s="18" t="str">
        <f>"Toothpaste Kids Fruity Basis Sensitiv "</f>
        <v xml:space="preserve">Toothpaste Kids Fruity Basis Sensitiv </v>
      </c>
      <c r="J70" s="19" t="str">
        <f>"75 ml"</f>
        <v>75 ml</v>
      </c>
      <c r="K70" s="19">
        <v>4</v>
      </c>
      <c r="L70" s="20">
        <v>21.58</v>
      </c>
      <c r="M70" s="20">
        <v>44.95</v>
      </c>
      <c r="N70" s="21">
        <v>17.260000000000002</v>
      </c>
      <c r="O70" s="22">
        <f t="shared" si="30"/>
        <v>4.3199999999999967</v>
      </c>
      <c r="P70" s="27">
        <f t="shared" si="27"/>
        <v>0.2001853568118627</v>
      </c>
    </row>
    <row r="71" spans="1:16" ht="16.5" customHeight="1" x14ac:dyDescent="0.3">
      <c r="A71" t="s">
        <v>19</v>
      </c>
      <c r="B71" t="str">
        <f t="shared" si="28"/>
        <v>show</v>
      </c>
      <c r="C71" t="str">
        <f t="shared" si="29"/>
        <v>270</v>
      </c>
      <c r="D71" s="4" t="str">
        <f>"""NAV"",""Helsam - Drift"",""27"",""1"",""21722"""</f>
        <v>"NAV","Helsam - Drift","27","1","21722"</v>
      </c>
      <c r="G71" s="17" t="str">
        <f>"21722"</f>
        <v>21722</v>
      </c>
      <c r="H71" s="23"/>
      <c r="I71" s="18" t="str">
        <f>"Toothpaste Mint  "</f>
        <v xml:space="preserve">Toothpaste Mint  </v>
      </c>
      <c r="J71" s="19" t="str">
        <f>"75 ml"</f>
        <v>75 ml</v>
      </c>
      <c r="K71" s="19">
        <v>4</v>
      </c>
      <c r="L71" s="20">
        <v>19.18</v>
      </c>
      <c r="M71" s="20">
        <v>39.950000000000003</v>
      </c>
      <c r="N71" s="21">
        <v>15.34</v>
      </c>
      <c r="O71" s="22">
        <f t="shared" si="30"/>
        <v>3.84</v>
      </c>
      <c r="P71" s="27">
        <f t="shared" si="27"/>
        <v>0.20020855057351408</v>
      </c>
    </row>
    <row r="72" spans="1:16" ht="16.5" customHeight="1" x14ac:dyDescent="0.3">
      <c r="A72" t="s">
        <v>19</v>
      </c>
      <c r="B72" t="str">
        <f t="shared" si="28"/>
        <v>show</v>
      </c>
      <c r="C72" t="str">
        <f t="shared" si="29"/>
        <v>270</v>
      </c>
      <c r="D72" s="4" t="str">
        <f>"""NAV"",""Helsam - Drift"",""27"",""1"",""21678"""</f>
        <v>"NAV","Helsam - Drift","27","1","21678"</v>
      </c>
      <c r="G72" s="17" t="str">
        <f>"21678"</f>
        <v>21678</v>
      </c>
      <c r="H72" s="23"/>
      <c r="I72" s="18" t="str">
        <f>"Toothpaste Sensitive "</f>
        <v xml:space="preserve">Toothpaste Sensitive </v>
      </c>
      <c r="J72" s="19" t="str">
        <f>"75 ml"</f>
        <v>75 ml</v>
      </c>
      <c r="K72" s="19">
        <v>4</v>
      </c>
      <c r="L72" s="20">
        <v>21.58</v>
      </c>
      <c r="M72" s="20">
        <v>44.95</v>
      </c>
      <c r="N72" s="21">
        <v>17.260000000000002</v>
      </c>
      <c r="O72" s="22">
        <f t="shared" si="30"/>
        <v>4.3199999999999967</v>
      </c>
      <c r="P72" s="27">
        <f t="shared" si="27"/>
        <v>0.2001853568118627</v>
      </c>
    </row>
    <row r="73" spans="1:16" ht="16.5" customHeight="1" x14ac:dyDescent="0.3">
      <c r="A73" t="s">
        <v>19</v>
      </c>
      <c r="B73" t="str">
        <f t="shared" si="28"/>
        <v>show</v>
      </c>
      <c r="C73" t="str">
        <f t="shared" si="29"/>
        <v>270</v>
      </c>
      <c r="D73" s="4" t="str">
        <f>"""NAV"",""Helsam - Drift"",""27"",""1"",""26488"""</f>
        <v>"NAV","Helsam - Drift","27","1","26488"</v>
      </c>
      <c r="G73" s="17" t="str">
        <f>"26488"</f>
        <v>26488</v>
      </c>
      <c r="H73" s="23"/>
      <c r="I73" s="18" t="str">
        <f>"Toothpaste Whitening "</f>
        <v xml:space="preserve">Toothpaste Whitening </v>
      </c>
      <c r="J73" s="19" t="str">
        <f>"75 ml"</f>
        <v>75 ml</v>
      </c>
      <c r="K73" s="19">
        <v>4</v>
      </c>
      <c r="L73" s="20">
        <v>26.369999999999997</v>
      </c>
      <c r="M73" s="20">
        <v>54.95</v>
      </c>
      <c r="N73" s="21">
        <v>21.1</v>
      </c>
      <c r="O73" s="22">
        <f t="shared" si="30"/>
        <v>5.269999999999996</v>
      </c>
      <c r="P73" s="27">
        <f t="shared" si="27"/>
        <v>0.1998483124762987</v>
      </c>
    </row>
    <row r="74" spans="1:16" ht="13.5" customHeight="1" x14ac:dyDescent="0.25">
      <c r="A74" t="s">
        <v>19</v>
      </c>
      <c r="B74" t="str">
        <f t="shared" ref="B74" si="31">IF(G55="","Skjul","show")</f>
        <v>show</v>
      </c>
      <c r="D74" s="4"/>
      <c r="G74" s="8"/>
      <c r="H74" s="8"/>
      <c r="I74" s="8"/>
      <c r="J74" s="8"/>
      <c r="K74" s="8"/>
      <c r="L74" s="8"/>
      <c r="M74" s="8"/>
      <c r="N74" s="8"/>
    </row>
    <row r="75" spans="1:16" x14ac:dyDescent="0.25">
      <c r="A75" t="s">
        <v>19</v>
      </c>
      <c r="B75" t="str">
        <f t="shared" ref="B75" si="32">IF(G55="","Skjul","show")</f>
        <v>show</v>
      </c>
    </row>
    <row r="76" spans="1:16" ht="18.75" customHeight="1" x14ac:dyDescent="0.25">
      <c r="A76" t="s">
        <v>19</v>
      </c>
      <c r="B76" t="str">
        <f t="shared" ref="B76" si="33">IF(G77="","Skjul","show")</f>
        <v>show</v>
      </c>
      <c r="C76" t="str">
        <f t="shared" ref="C76" si="34">E76</f>
        <v>003</v>
      </c>
      <c r="D76" t="str">
        <f>"""NAV"",""Helsam - Drift"",""23"",""1"",""003"""</f>
        <v>"NAV","Helsam - Drift","23","1","003"</v>
      </c>
      <c r="E76" t="str">
        <f>"003"</f>
        <v>003</v>
      </c>
      <c r="G76" s="24" t="str">
        <f>"Midsona OTC"</f>
        <v>Midsona OTC</v>
      </c>
      <c r="I76" s="8"/>
      <c r="J76" s="9"/>
      <c r="K76" s="9"/>
      <c r="L76" s="10"/>
      <c r="M76" s="10"/>
      <c r="N76" s="11"/>
    </row>
    <row r="77" spans="1:16" ht="16.5" customHeight="1" x14ac:dyDescent="0.3">
      <c r="A77" t="s">
        <v>19</v>
      </c>
      <c r="B77" t="str">
        <f t="shared" ref="B77" si="35">IF(G77="","Skjul","show")</f>
        <v>show</v>
      </c>
      <c r="C77" t="str">
        <f t="shared" ref="C77" si="36">+C76</f>
        <v>003</v>
      </c>
      <c r="D77" s="4" t="str">
        <f>"""NAV"",""Helsam - Drift"",""27"",""1"",""9113"""</f>
        <v>"NAV","Helsam - Drift","27","1","9113"</v>
      </c>
      <c r="G77" s="17" t="str">
        <f>"9113"</f>
        <v>9113</v>
      </c>
      <c r="H77" s="23">
        <v>150</v>
      </c>
      <c r="I77" s="18" t="str">
        <f>"Avosol  "</f>
        <v xml:space="preserve">Avosol  </v>
      </c>
      <c r="J77" s="19" t="str">
        <f>"120 kap"</f>
        <v>120 kap</v>
      </c>
      <c r="K77" s="19">
        <v>3</v>
      </c>
      <c r="L77" s="20">
        <v>186.09</v>
      </c>
      <c r="M77" s="20">
        <v>349.95</v>
      </c>
      <c r="N77" s="21">
        <v>139.57000000000002</v>
      </c>
      <c r="O77" s="22">
        <f t="shared" ref="O77" si="37">IFERROR((L77-N77),"")</f>
        <v>46.519999999999982</v>
      </c>
      <c r="P77" s="27">
        <f t="shared" ref="P77" si="38">O77/L77</f>
        <v>0.24998656564028149</v>
      </c>
    </row>
    <row r="78" spans="1:16" ht="13.5" customHeight="1" x14ac:dyDescent="0.25">
      <c r="A78" t="s">
        <v>19</v>
      </c>
      <c r="B78" t="str">
        <f t="shared" ref="B78" si="39">IF(G77="","Skjul","show")</f>
        <v>show</v>
      </c>
      <c r="D78" s="4"/>
      <c r="G78" s="8"/>
      <c r="H78" s="8"/>
      <c r="I78" s="8"/>
      <c r="J78" s="8"/>
      <c r="K78" s="8"/>
      <c r="L78" s="8"/>
      <c r="M78" s="8"/>
      <c r="N78" s="8"/>
    </row>
    <row r="79" spans="1:16" x14ac:dyDescent="0.25">
      <c r="A79" t="s">
        <v>19</v>
      </c>
      <c r="B79" t="str">
        <f t="shared" ref="B79" si="40">IF(G77="","Skjul","show")</f>
        <v>show</v>
      </c>
    </row>
    <row r="80" spans="1:16" ht="18.75" customHeight="1" x14ac:dyDescent="0.25">
      <c r="A80" t="s">
        <v>19</v>
      </c>
      <c r="B80" t="str">
        <f t="shared" ref="B80" si="41">IF(G81="","Skjul","show")</f>
        <v>show</v>
      </c>
      <c r="C80" t="str">
        <f t="shared" ref="C80" si="42">E80</f>
        <v>092</v>
      </c>
      <c r="D80" t="str">
        <f>"""NAV"",""Helsam - Drift"",""23"",""1"",""092"""</f>
        <v>"NAV","Helsam - Drift","23","1","092"</v>
      </c>
      <c r="E80" t="str">
        <f>"092"</f>
        <v>092</v>
      </c>
      <c r="G80" s="24" t="str">
        <f>"Natur Energi ApS"</f>
        <v>Natur Energi ApS</v>
      </c>
      <c r="I80" s="8"/>
      <c r="J80" s="9"/>
      <c r="K80" s="9"/>
      <c r="L80" s="10"/>
      <c r="M80" s="10"/>
      <c r="N80" s="11"/>
    </row>
    <row r="81" spans="1:16" ht="16.5" customHeight="1" x14ac:dyDescent="0.3">
      <c r="A81" t="s">
        <v>19</v>
      </c>
      <c r="B81" t="str">
        <f t="shared" ref="B81" si="43">IF(G81="","Skjul","show")</f>
        <v>show</v>
      </c>
      <c r="C81" t="str">
        <f t="shared" ref="C81" si="44">+C80</f>
        <v>092</v>
      </c>
      <c r="D81" s="4" t="str">
        <f>"""NAV"",""Helsam - Drift"",""27"",""1"",""7939"""</f>
        <v>"NAV","Helsam - Drift","27","1","7939"</v>
      </c>
      <c r="G81" s="17" t="str">
        <f>"7939"</f>
        <v>7939</v>
      </c>
      <c r="H81" s="23">
        <v>150</v>
      </c>
      <c r="I81" s="18" t="str">
        <f>"Multidophilus 24 "</f>
        <v xml:space="preserve">Multidophilus 24 </v>
      </c>
      <c r="J81" s="19" t="str">
        <f>"60 kap"</f>
        <v>60 kap</v>
      </c>
      <c r="K81" s="19">
        <v>12</v>
      </c>
      <c r="L81" s="20">
        <v>158.69</v>
      </c>
      <c r="M81" s="20">
        <v>309.95</v>
      </c>
      <c r="N81" s="21">
        <v>119.02000000000001</v>
      </c>
      <c r="O81" s="22">
        <f t="shared" ref="O81" si="45">IFERROR((L81-N81),"")</f>
        <v>39.669999999999987</v>
      </c>
      <c r="P81" s="27">
        <f t="shared" ref="P81:P83" si="46">O81/L81</f>
        <v>0.24998424601424152</v>
      </c>
    </row>
    <row r="82" spans="1:16" ht="16.5" customHeight="1" x14ac:dyDescent="0.3">
      <c r="A82" t="s">
        <v>19</v>
      </c>
      <c r="B82" t="str">
        <f t="shared" ref="B82:B83" si="47">IF(G82="","Skjul","show")</f>
        <v>show</v>
      </c>
      <c r="C82" t="str">
        <f t="shared" ref="C82:C83" si="48">+C81</f>
        <v>092</v>
      </c>
      <c r="D82" s="4" t="str">
        <f>"""NAV"",""Helsam - Drift"",""27"",""1"",""7646"""</f>
        <v>"NAV","Helsam - Drift","27","1","7646"</v>
      </c>
      <c r="G82" s="17" t="str">
        <f>"7646"</f>
        <v>7646</v>
      </c>
      <c r="H82" s="23">
        <v>36</v>
      </c>
      <c r="I82" s="18" t="str">
        <f>"Spektro Multi-Vita-Min uden jern og vit. K. "</f>
        <v xml:space="preserve">Spektro Multi-Vita-Min uden jern og vit. K. </v>
      </c>
      <c r="J82" s="19" t="str">
        <f>"300 kap"</f>
        <v>300 kap</v>
      </c>
      <c r="K82" s="19">
        <v>3</v>
      </c>
      <c r="L82" s="20">
        <v>274.52999999999997</v>
      </c>
      <c r="M82" s="20">
        <v>519.95000000000005</v>
      </c>
      <c r="N82" s="21">
        <v>205.9</v>
      </c>
      <c r="O82" s="22">
        <f t="shared" ref="O82:O83" si="49">IFERROR((L82-N82),"")</f>
        <v>68.629999999999967</v>
      </c>
      <c r="P82" s="27">
        <f t="shared" si="46"/>
        <v>0.24999089352711898</v>
      </c>
    </row>
    <row r="83" spans="1:16" ht="16.5" customHeight="1" x14ac:dyDescent="0.3">
      <c r="A83" t="s">
        <v>19</v>
      </c>
      <c r="B83" t="str">
        <f t="shared" si="47"/>
        <v>show</v>
      </c>
      <c r="C83" t="str">
        <f t="shared" si="48"/>
        <v>092</v>
      </c>
      <c r="D83" s="4" t="str">
        <f>"""NAV"",""Helsam - Drift"",""27"",""1"",""9254"""</f>
        <v>"NAV","Helsam - Drift","27","1","9254"</v>
      </c>
      <c r="G83" s="17" t="str">
        <f>"9254"</f>
        <v>9254</v>
      </c>
      <c r="H83" s="23">
        <v>120</v>
      </c>
      <c r="I83" s="18" t="str">
        <f>"Spektro50+ Multi-Vita-Min "</f>
        <v xml:space="preserve">Spektro50+ Multi-Vita-Min </v>
      </c>
      <c r="J83" s="19" t="str">
        <f>"100 kap"</f>
        <v>100 kap</v>
      </c>
      <c r="K83" s="19">
        <v>6</v>
      </c>
      <c r="L83" s="20">
        <v>137.25</v>
      </c>
      <c r="M83" s="20">
        <v>259.95</v>
      </c>
      <c r="N83" s="21">
        <v>102.94000000000001</v>
      </c>
      <c r="O83" s="22">
        <f t="shared" si="49"/>
        <v>34.309999999999988</v>
      </c>
      <c r="P83" s="27">
        <f t="shared" si="46"/>
        <v>0.24998178506375218</v>
      </c>
    </row>
    <row r="84" spans="1:16" ht="13.5" customHeight="1" x14ac:dyDescent="0.25">
      <c r="A84" t="s">
        <v>19</v>
      </c>
      <c r="B84" t="str">
        <f t="shared" ref="B84" si="50">IF(G81="","Skjul","show")</f>
        <v>show</v>
      </c>
      <c r="D84" s="4"/>
      <c r="G84" s="8"/>
      <c r="H84" s="8"/>
      <c r="I84" s="8"/>
      <c r="J84" s="8"/>
      <c r="K84" s="8"/>
      <c r="L84" s="8"/>
      <c r="M84" s="8"/>
      <c r="N84" s="8"/>
    </row>
    <row r="85" spans="1:16" x14ac:dyDescent="0.25">
      <c r="A85" t="s">
        <v>19</v>
      </c>
      <c r="B85" t="str">
        <f t="shared" ref="B85" si="51">IF(G81="","Skjul","show")</f>
        <v>show</v>
      </c>
    </row>
    <row r="86" spans="1:16" ht="18.75" customHeight="1" x14ac:dyDescent="0.25">
      <c r="A86" t="s">
        <v>19</v>
      </c>
      <c r="B86" t="str">
        <f t="shared" ref="B86" si="52">IF(G87="","Skjul","show")</f>
        <v>show</v>
      </c>
      <c r="C86" t="str">
        <f t="shared" ref="C86" si="53">E86</f>
        <v>006</v>
      </c>
      <c r="D86" t="str">
        <f>"""NAV"",""Helsam - Drift"",""23"",""1"",""006"""</f>
        <v>"NAV","Helsam - Drift","23","1","006"</v>
      </c>
      <c r="E86" t="str">
        <f>"006"</f>
        <v>006</v>
      </c>
      <c r="G86" s="24" t="str">
        <f>"New Nordic Healthcare ApS"</f>
        <v>New Nordic Healthcare ApS</v>
      </c>
      <c r="I86" s="8"/>
      <c r="J86" s="9"/>
      <c r="K86" s="9"/>
      <c r="L86" s="10"/>
      <c r="M86" s="10"/>
      <c r="N86" s="11"/>
    </row>
    <row r="87" spans="1:16" ht="16.5" customHeight="1" x14ac:dyDescent="0.3">
      <c r="A87" t="s">
        <v>19</v>
      </c>
      <c r="B87" t="str">
        <f t="shared" ref="B87" si="54">IF(G87="","Skjul","show")</f>
        <v>show</v>
      </c>
      <c r="C87" t="str">
        <f t="shared" ref="C87" si="55">+C86</f>
        <v>006</v>
      </c>
      <c r="D87" s="4" t="str">
        <f>"""NAV"",""Helsam - Drift"",""27"",""1"",""9096"""</f>
        <v>"NAV","Helsam - Drift","27","1","9096"</v>
      </c>
      <c r="G87" s="17" t="str">
        <f>"9096"</f>
        <v>9096</v>
      </c>
      <c r="H87" s="23"/>
      <c r="I87" s="18" t="str">
        <f>"Hair Volume  "</f>
        <v xml:space="preserve">Hair Volume  </v>
      </c>
      <c r="J87" s="19" t="str">
        <f>"90 tab"</f>
        <v>90 tab</v>
      </c>
      <c r="K87" s="19">
        <v>6</v>
      </c>
      <c r="L87" s="20">
        <v>304.64</v>
      </c>
      <c r="M87" s="20">
        <v>614</v>
      </c>
      <c r="N87" s="21">
        <v>249.99999999999997</v>
      </c>
      <c r="O87" s="22">
        <f t="shared" ref="O87" si="56">IFERROR((L87-N87),"")</f>
        <v>54.640000000000015</v>
      </c>
      <c r="P87" s="27">
        <f t="shared" ref="P87" si="57">O87/L87</f>
        <v>0.17935924369747905</v>
      </c>
    </row>
    <row r="88" spans="1:16" ht="13.5" customHeight="1" x14ac:dyDescent="0.25">
      <c r="A88" t="s">
        <v>19</v>
      </c>
      <c r="B88" t="str">
        <f t="shared" ref="B88" si="58">IF(G87="","Skjul","show")</f>
        <v>show</v>
      </c>
      <c r="D88" s="4"/>
      <c r="G88" s="8"/>
      <c r="H88" s="8"/>
      <c r="I88" s="8"/>
      <c r="J88" s="8"/>
      <c r="K88" s="8"/>
      <c r="L88" s="8"/>
      <c r="M88" s="8"/>
      <c r="N88" s="8"/>
    </row>
    <row r="89" spans="1:16" x14ac:dyDescent="0.25">
      <c r="A89" t="s">
        <v>19</v>
      </c>
      <c r="B89" t="str">
        <f t="shared" ref="B89" si="59">IF(G87="","Skjul","show")</f>
        <v>show</v>
      </c>
    </row>
    <row r="90" spans="1:16" ht="18.75" customHeight="1" x14ac:dyDescent="0.25">
      <c r="A90" t="s">
        <v>19</v>
      </c>
      <c r="B90" t="str">
        <f t="shared" ref="B90" si="60">IF(G91="","Skjul","show")</f>
        <v>show</v>
      </c>
      <c r="C90" t="str">
        <f t="shared" ref="C90" si="61">E90</f>
        <v>011</v>
      </c>
      <c r="D90" t="str">
        <f>"""NAV"",""Helsam - Drift"",""23"",""1"",""011"""</f>
        <v>"NAV","Helsam - Drift","23","1","011"</v>
      </c>
      <c r="E90" t="str">
        <f>"011"</f>
        <v>011</v>
      </c>
      <c r="G90" s="24" t="str">
        <f>"Octean Pharma ApS"</f>
        <v>Octean Pharma ApS</v>
      </c>
      <c r="I90" s="8"/>
      <c r="J90" s="9"/>
      <c r="K90" s="9"/>
      <c r="L90" s="10"/>
      <c r="M90" s="10"/>
      <c r="N90" s="11"/>
    </row>
    <row r="91" spans="1:16" ht="16.5" customHeight="1" x14ac:dyDescent="0.3">
      <c r="A91" t="s">
        <v>19</v>
      </c>
      <c r="B91" t="str">
        <f t="shared" ref="B91" si="62">IF(G91="","Skjul","show")</f>
        <v>show</v>
      </c>
      <c r="C91" t="str">
        <f t="shared" ref="C91" si="63">+C90</f>
        <v>011</v>
      </c>
      <c r="D91" s="4" t="str">
        <f>"""NAV"",""Helsam - Drift"",""27"",""1"",""8312"""</f>
        <v>"NAV","Helsam - Drift","27","1","8312"</v>
      </c>
      <c r="G91" s="17" t="str">
        <f>"8312"</f>
        <v>8312</v>
      </c>
      <c r="H91" s="23"/>
      <c r="I91" s="18" t="str">
        <f>"Glyc Boost "</f>
        <v xml:space="preserve">Glyc Boost </v>
      </c>
      <c r="J91" s="19" t="str">
        <f>"60 tab"</f>
        <v>60 tab</v>
      </c>
      <c r="K91" s="19">
        <v>5</v>
      </c>
      <c r="L91" s="20">
        <v>116.99999999999999</v>
      </c>
      <c r="M91" s="20">
        <v>239</v>
      </c>
      <c r="N91" s="21">
        <v>93.6</v>
      </c>
      <c r="O91" s="22">
        <f t="shared" ref="O91" si="64">IFERROR((L91-N91),"")</f>
        <v>23.399999999999991</v>
      </c>
      <c r="P91" s="27">
        <f t="shared" ref="P91:P93" si="65">O91/L91</f>
        <v>0.19999999999999996</v>
      </c>
    </row>
    <row r="92" spans="1:16" ht="16.5" customHeight="1" x14ac:dyDescent="0.3">
      <c r="A92" t="s">
        <v>19</v>
      </c>
      <c r="B92" t="str">
        <f t="shared" ref="B92:B93" si="66">IF(G92="","Skjul","show")</f>
        <v>show</v>
      </c>
      <c r="C92" t="str">
        <f t="shared" ref="C92:C93" si="67">+C91</f>
        <v>011</v>
      </c>
      <c r="D92" s="4" t="str">
        <f>"""NAV"",""Helsam - Drift"",""27"",""1"",""8322"""</f>
        <v>"NAV","Helsam - Drift","27","1","8322"</v>
      </c>
      <c r="G92" s="17" t="str">
        <f>"8322"</f>
        <v>8322</v>
      </c>
      <c r="H92" s="23"/>
      <c r="I92" s="18" t="str">
        <f>"Glyc Boost "</f>
        <v xml:space="preserve">Glyc Boost </v>
      </c>
      <c r="J92" s="19" t="str">
        <f>"120 tab"</f>
        <v>120 tab</v>
      </c>
      <c r="K92" s="19">
        <v>3</v>
      </c>
      <c r="L92" s="20">
        <v>195</v>
      </c>
      <c r="M92" s="20">
        <v>399</v>
      </c>
      <c r="N92" s="21">
        <v>156</v>
      </c>
      <c r="O92" s="22">
        <f t="shared" ref="O92:O93" si="68">IFERROR((L92-N92),"")</f>
        <v>39</v>
      </c>
      <c r="P92" s="27">
        <f t="shared" si="65"/>
        <v>0.2</v>
      </c>
    </row>
    <row r="93" spans="1:16" ht="16.5" customHeight="1" x14ac:dyDescent="0.3">
      <c r="A93" t="s">
        <v>19</v>
      </c>
      <c r="B93" t="str">
        <f t="shared" si="66"/>
        <v>show</v>
      </c>
      <c r="C93" t="str">
        <f t="shared" si="67"/>
        <v>011</v>
      </c>
      <c r="D93" s="4" t="str">
        <f>"""NAV"",""Helsam - Drift"",""27"",""1"",""27332"""</f>
        <v>"NAV","Helsam - Drift","27","1","27332"</v>
      </c>
      <c r="G93" s="17" t="str">
        <f>"27332"</f>
        <v>27332</v>
      </c>
      <c r="H93" s="23"/>
      <c r="I93" s="18" t="str">
        <f>"Silicea Mave-Tarm On The Go 6 dos.poser"</f>
        <v>Silicea Mave-Tarm On The Go 6 dos.poser</v>
      </c>
      <c r="J93" s="19" t="str">
        <f>"90 ml"</f>
        <v>90 ml</v>
      </c>
      <c r="K93" s="19">
        <v>15</v>
      </c>
      <c r="L93" s="20">
        <v>39.1</v>
      </c>
      <c r="M93" s="20">
        <v>79</v>
      </c>
      <c r="N93" s="21">
        <v>31.28</v>
      </c>
      <c r="O93" s="22">
        <f t="shared" si="68"/>
        <v>7.82</v>
      </c>
      <c r="P93" s="27">
        <f t="shared" si="65"/>
        <v>0.2</v>
      </c>
    </row>
    <row r="94" spans="1:16" ht="13.5" customHeight="1" x14ac:dyDescent="0.25">
      <c r="A94" t="s">
        <v>19</v>
      </c>
      <c r="B94" t="str">
        <f t="shared" ref="B94" si="69">IF(G91="","Skjul","show")</f>
        <v>show</v>
      </c>
      <c r="D94" s="4"/>
      <c r="G94" s="8"/>
      <c r="H94" s="8"/>
      <c r="I94" s="8"/>
      <c r="J94" s="8"/>
      <c r="K94" s="8"/>
      <c r="L94" s="8"/>
      <c r="M94" s="8"/>
      <c r="N94" s="8"/>
    </row>
    <row r="95" spans="1:16" x14ac:dyDescent="0.25">
      <c r="A95" t="s">
        <v>19</v>
      </c>
      <c r="B95" t="str">
        <f t="shared" ref="B95" si="70">IF(G91="","Skjul","show")</f>
        <v>show</v>
      </c>
    </row>
    <row r="96" spans="1:16" ht="18.75" customHeight="1" x14ac:dyDescent="0.25">
      <c r="A96" t="s">
        <v>19</v>
      </c>
      <c r="B96" t="str">
        <f t="shared" ref="B96" si="71">IF(G97="","Skjul","show")</f>
        <v>show</v>
      </c>
      <c r="C96" t="str">
        <f t="shared" ref="C96" si="72">E96</f>
        <v>178</v>
      </c>
      <c r="D96" t="str">
        <f>"""NAV"",""Helsam - Drift"",""23"",""1"",""178"""</f>
        <v>"NAV","Helsam - Drift","23","1","178"</v>
      </c>
      <c r="E96" t="str">
        <f>"178"</f>
        <v>178</v>
      </c>
      <c r="G96" s="24" t="str">
        <f>"Puori ApS"</f>
        <v>Puori ApS</v>
      </c>
      <c r="I96" s="8"/>
      <c r="J96" s="9"/>
      <c r="K96" s="9"/>
      <c r="L96" s="10"/>
      <c r="M96" s="10"/>
      <c r="N96" s="11"/>
    </row>
    <row r="97" spans="1:16" ht="16.5" customHeight="1" x14ac:dyDescent="0.3">
      <c r="A97" t="s">
        <v>19</v>
      </c>
      <c r="B97" t="str">
        <f t="shared" ref="B97" si="73">IF(G97="","Skjul","show")</f>
        <v>show</v>
      </c>
      <c r="C97" t="str">
        <f t="shared" ref="C97" si="74">+C96</f>
        <v>178</v>
      </c>
      <c r="D97" s="4" t="str">
        <f>"""NAV"",""Helsam - Drift"",""27"",""1"",""3192"""</f>
        <v>"NAV","Helsam - Drift","27","1","3192"</v>
      </c>
      <c r="G97" s="17" t="str">
        <f>"3192"</f>
        <v>3192</v>
      </c>
      <c r="H97" s="23">
        <v>36</v>
      </c>
      <c r="I97" s="18" t="str">
        <f>"Vitamin C3 brusetablet Pouri "</f>
        <v xml:space="preserve">Vitamin C3 brusetablet Pouri </v>
      </c>
      <c r="J97" s="19" t="str">
        <f>"20 tab"</f>
        <v>20 tab</v>
      </c>
      <c r="K97" s="19">
        <v>12</v>
      </c>
      <c r="L97" s="20">
        <v>47.699999999999996</v>
      </c>
      <c r="M97" s="20">
        <v>89</v>
      </c>
      <c r="N97" s="21">
        <v>40.550000000000004</v>
      </c>
      <c r="O97" s="22">
        <f t="shared" ref="O97" si="75">IFERROR((L97-N97),"")</f>
        <v>7.1499999999999915</v>
      </c>
      <c r="P97" s="27">
        <f t="shared" ref="P97" si="76">O97/L97</f>
        <v>0.14989517819706483</v>
      </c>
    </row>
    <row r="98" spans="1:16" ht="13.5" customHeight="1" x14ac:dyDescent="0.25">
      <c r="A98" t="s">
        <v>19</v>
      </c>
      <c r="B98" t="str">
        <f t="shared" ref="B98" si="77">IF(G97="","Skjul","show")</f>
        <v>show</v>
      </c>
      <c r="D98" s="4"/>
      <c r="G98" s="8"/>
      <c r="H98" s="8"/>
      <c r="I98" s="8"/>
      <c r="J98" s="8"/>
      <c r="K98" s="8"/>
      <c r="L98" s="8"/>
      <c r="M98" s="8"/>
      <c r="N98" s="8"/>
    </row>
    <row r="99" spans="1:16" x14ac:dyDescent="0.25">
      <c r="A99" t="s">
        <v>19</v>
      </c>
      <c r="B99" t="str">
        <f t="shared" ref="B99" si="78">IF(G97="","Skjul","show")</f>
        <v>show</v>
      </c>
    </row>
    <row r="100" spans="1:16" ht="18.75" customHeight="1" x14ac:dyDescent="0.25">
      <c r="A100" t="s">
        <v>19</v>
      </c>
      <c r="B100" t="str">
        <f t="shared" ref="B100" si="79">IF(G101="","Skjul","show")</f>
        <v>show</v>
      </c>
      <c r="C100" t="str">
        <f t="shared" ref="C100" si="80">E100</f>
        <v>005</v>
      </c>
      <c r="D100" t="str">
        <f>"""NAV"",""Helsam - Drift"",""23"",""1"",""005"""</f>
        <v>"NAV","Helsam - Drift","23","1","005"</v>
      </c>
      <c r="E100" t="str">
        <f>"005"</f>
        <v>005</v>
      </c>
      <c r="G100" s="24" t="str">
        <f>"Rømer Produkt "</f>
        <v xml:space="preserve">Rømer Produkt </v>
      </c>
      <c r="I100" s="8"/>
      <c r="J100" s="9"/>
      <c r="K100" s="9"/>
      <c r="L100" s="10"/>
      <c r="M100" s="10"/>
      <c r="N100" s="11"/>
    </row>
    <row r="101" spans="1:16" ht="16.5" customHeight="1" x14ac:dyDescent="0.3">
      <c r="A101" t="s">
        <v>19</v>
      </c>
      <c r="B101" t="str">
        <f t="shared" ref="B101" si="81">IF(G101="","Skjul","show")</f>
        <v>show</v>
      </c>
      <c r="C101" t="str">
        <f t="shared" ref="C101" si="82">+C100</f>
        <v>005</v>
      </c>
      <c r="D101" s="4" t="str">
        <f>"""NAV"",""Helsam - Drift"",""27"",""1"",""1150"""</f>
        <v>"NAV","Helsam - Drift","27","1","1150"</v>
      </c>
      <c r="G101" s="17" t="str">
        <f>"1150"</f>
        <v>1150</v>
      </c>
      <c r="H101" s="23"/>
      <c r="I101" s="18" t="str">
        <f>"Aloe Vera Shampoo  "</f>
        <v xml:space="preserve">Aloe Vera Shampoo  </v>
      </c>
      <c r="J101" s="19" t="str">
        <f>"250 ml"</f>
        <v>250 ml</v>
      </c>
      <c r="K101" s="19">
        <v>6</v>
      </c>
      <c r="L101" s="20">
        <v>23.5</v>
      </c>
      <c r="M101" s="20">
        <v>49.95</v>
      </c>
      <c r="N101" s="21">
        <v>19.98</v>
      </c>
      <c r="O101" s="22">
        <f t="shared" ref="O101" si="83">IFERROR((L101-N101),"")</f>
        <v>3.5199999999999996</v>
      </c>
      <c r="P101" s="27">
        <f t="shared" ref="P101:P140" si="84">O101/L101</f>
        <v>0.14978723404255317</v>
      </c>
    </row>
    <row r="102" spans="1:16" ht="16.5" customHeight="1" x14ac:dyDescent="0.3">
      <c r="A102" t="s">
        <v>19</v>
      </c>
      <c r="B102" t="str">
        <f t="shared" ref="B102:B140" si="85">IF(G102="","Skjul","show")</f>
        <v>show</v>
      </c>
      <c r="C102" t="str">
        <f t="shared" ref="C102:C140" si="86">+C101</f>
        <v>005</v>
      </c>
      <c r="D102" s="4" t="str">
        <f>"""NAV"",""Helsam - Drift"",""27"",""1"",""1151"""</f>
        <v>"NAV","Helsam - Drift","27","1","1151"</v>
      </c>
      <c r="G102" s="17" t="str">
        <f>"1151"</f>
        <v>1151</v>
      </c>
      <c r="H102" s="23"/>
      <c r="I102" s="18" t="str">
        <f>"Aloe Vera Shampoo  "</f>
        <v xml:space="preserve">Aloe Vera Shampoo  </v>
      </c>
      <c r="J102" s="19" t="str">
        <f>"500 ml"</f>
        <v>500 ml</v>
      </c>
      <c r="K102" s="19">
        <v>6</v>
      </c>
      <c r="L102" s="20">
        <v>33</v>
      </c>
      <c r="M102" s="20">
        <v>69.95</v>
      </c>
      <c r="N102" s="21">
        <v>28.049999999999997</v>
      </c>
      <c r="O102" s="22">
        <f t="shared" ref="O102:O140" si="87">IFERROR((L102-N102),"")</f>
        <v>4.9500000000000028</v>
      </c>
      <c r="P102" s="27">
        <f t="shared" si="84"/>
        <v>0.15000000000000008</v>
      </c>
    </row>
    <row r="103" spans="1:16" ht="16.5" customHeight="1" x14ac:dyDescent="0.3">
      <c r="A103" t="s">
        <v>19</v>
      </c>
      <c r="B103" t="str">
        <f t="shared" si="85"/>
        <v>show</v>
      </c>
      <c r="C103" t="str">
        <f t="shared" si="86"/>
        <v>005</v>
      </c>
      <c r="D103" s="4" t="str">
        <f>"""NAV"",""Helsam - Drift"",""27"",""1"",""19104"""</f>
        <v>"NAV","Helsam - Drift","27","1","19104"</v>
      </c>
      <c r="G103" s="17" t="str">
        <f>"19104"</f>
        <v>19104</v>
      </c>
      <c r="H103" s="23"/>
      <c r="I103" s="18" t="str">
        <f>"Aloe Vera Shampoo "</f>
        <v xml:space="preserve">Aloe Vera Shampoo </v>
      </c>
      <c r="J103" s="19" t="str">
        <f>"1 ltr"</f>
        <v>1 ltr</v>
      </c>
      <c r="K103" s="19">
        <v>6</v>
      </c>
      <c r="L103" s="20">
        <v>47</v>
      </c>
      <c r="M103" s="20">
        <v>98</v>
      </c>
      <c r="N103" s="21">
        <v>39.950000000000003</v>
      </c>
      <c r="O103" s="22">
        <f t="shared" si="87"/>
        <v>7.0499999999999972</v>
      </c>
      <c r="P103" s="27">
        <f t="shared" si="84"/>
        <v>0.14999999999999994</v>
      </c>
    </row>
    <row r="104" spans="1:16" ht="16.5" customHeight="1" x14ac:dyDescent="0.3">
      <c r="A104" t="s">
        <v>19</v>
      </c>
      <c r="B104" t="str">
        <f t="shared" si="85"/>
        <v>show</v>
      </c>
      <c r="C104" t="str">
        <f t="shared" si="86"/>
        <v>005</v>
      </c>
      <c r="D104" s="4" t="str">
        <f>"""NAV"",""Helsam - Drift"",""27"",""1"",""1114"""</f>
        <v>"NAV","Helsam - Drift","27","1","1114"</v>
      </c>
      <c r="G104" s="17" t="str">
        <f>"1114"</f>
        <v>1114</v>
      </c>
      <c r="H104" s="23"/>
      <c r="I104" s="18" t="str">
        <f>"Bodyshampoo  "</f>
        <v xml:space="preserve">Bodyshampoo  </v>
      </c>
      <c r="J104" s="19" t="str">
        <f>"250 ml"</f>
        <v>250 ml</v>
      </c>
      <c r="K104" s="19">
        <v>6</v>
      </c>
      <c r="L104" s="20">
        <v>23.5</v>
      </c>
      <c r="M104" s="20">
        <v>49.95</v>
      </c>
      <c r="N104" s="21">
        <v>19.98</v>
      </c>
      <c r="O104" s="22">
        <f t="shared" si="87"/>
        <v>3.5199999999999996</v>
      </c>
      <c r="P104" s="27">
        <f t="shared" si="84"/>
        <v>0.14978723404255317</v>
      </c>
    </row>
    <row r="105" spans="1:16" ht="16.5" customHeight="1" x14ac:dyDescent="0.3">
      <c r="A105" t="s">
        <v>19</v>
      </c>
      <c r="B105" t="str">
        <f t="shared" si="85"/>
        <v>show</v>
      </c>
      <c r="C105" t="str">
        <f t="shared" si="86"/>
        <v>005</v>
      </c>
      <c r="D105" s="4" t="str">
        <f>"""NAV"",""Helsam - Drift"",""27"",""1"",""1115"""</f>
        <v>"NAV","Helsam - Drift","27","1","1115"</v>
      </c>
      <c r="G105" s="17" t="str">
        <f>"1115"</f>
        <v>1115</v>
      </c>
      <c r="H105" s="23"/>
      <c r="I105" s="18" t="str">
        <f>"Bodyshampoo  "</f>
        <v xml:space="preserve">Bodyshampoo  </v>
      </c>
      <c r="J105" s="19" t="str">
        <f>"500 ml"</f>
        <v>500 ml</v>
      </c>
      <c r="K105" s="19">
        <v>6</v>
      </c>
      <c r="L105" s="20">
        <v>33</v>
      </c>
      <c r="M105" s="20">
        <v>69.95</v>
      </c>
      <c r="N105" s="21">
        <v>28.049999999999997</v>
      </c>
      <c r="O105" s="22">
        <f t="shared" si="87"/>
        <v>4.9500000000000028</v>
      </c>
      <c r="P105" s="27">
        <f t="shared" si="84"/>
        <v>0.15000000000000008</v>
      </c>
    </row>
    <row r="106" spans="1:16" ht="16.5" customHeight="1" x14ac:dyDescent="0.3">
      <c r="A106" t="s">
        <v>19</v>
      </c>
      <c r="B106" t="str">
        <f t="shared" si="85"/>
        <v>show</v>
      </c>
      <c r="C106" t="str">
        <f t="shared" si="86"/>
        <v>005</v>
      </c>
      <c r="D106" s="4" t="str">
        <f>"""NAV"",""Helsam - Drift"",""27"",""1"",""19105"""</f>
        <v>"NAV","Helsam - Drift","27","1","19105"</v>
      </c>
      <c r="G106" s="17" t="str">
        <f>"19105"</f>
        <v>19105</v>
      </c>
      <c r="H106" s="23"/>
      <c r="I106" s="18" t="str">
        <f>"Bodyshampoo "</f>
        <v xml:space="preserve">Bodyshampoo </v>
      </c>
      <c r="J106" s="19" t="str">
        <f>"1 ltr"</f>
        <v>1 ltr</v>
      </c>
      <c r="K106" s="19">
        <v>6</v>
      </c>
      <c r="L106" s="20">
        <v>47</v>
      </c>
      <c r="M106" s="20">
        <v>98</v>
      </c>
      <c r="N106" s="21">
        <v>39.950000000000003</v>
      </c>
      <c r="O106" s="22">
        <f t="shared" si="87"/>
        <v>7.0499999999999972</v>
      </c>
      <c r="P106" s="27">
        <f t="shared" si="84"/>
        <v>0.14999999999999994</v>
      </c>
    </row>
    <row r="107" spans="1:16" ht="16.5" customHeight="1" x14ac:dyDescent="0.3">
      <c r="A107" t="s">
        <v>19</v>
      </c>
      <c r="B107" t="str">
        <f t="shared" si="85"/>
        <v>show</v>
      </c>
      <c r="C107" t="str">
        <f t="shared" si="86"/>
        <v>005</v>
      </c>
      <c r="D107" s="4" t="str">
        <f>"""NAV"",""Helsam - Drift"",""27"",""1"",""19064"""</f>
        <v>"NAV","Helsam - Drift","27","1","19064"</v>
      </c>
      <c r="G107" s="17" t="str">
        <f>"19064"</f>
        <v>19064</v>
      </c>
      <c r="H107" s="23"/>
      <c r="I107" s="18" t="str">
        <f>"Borago bodyshampoo  "</f>
        <v xml:space="preserve">Borago bodyshampoo  </v>
      </c>
      <c r="J107" s="19" t="str">
        <f>"250 ml"</f>
        <v>250 ml</v>
      </c>
      <c r="K107" s="19">
        <v>6</v>
      </c>
      <c r="L107" s="20">
        <v>19</v>
      </c>
      <c r="M107" s="20">
        <v>39.950000000000003</v>
      </c>
      <c r="N107" s="21">
        <v>16.149999999999999</v>
      </c>
      <c r="O107" s="22">
        <f t="shared" si="87"/>
        <v>2.8500000000000014</v>
      </c>
      <c r="P107" s="27">
        <f t="shared" si="84"/>
        <v>0.15000000000000008</v>
      </c>
    </row>
    <row r="108" spans="1:16" ht="16.5" customHeight="1" x14ac:dyDescent="0.3">
      <c r="A108" t="s">
        <v>19</v>
      </c>
      <c r="B108" t="str">
        <f t="shared" si="85"/>
        <v>show</v>
      </c>
      <c r="C108" t="str">
        <f t="shared" si="86"/>
        <v>005</v>
      </c>
      <c r="D108" s="4" t="str">
        <f>"""NAV"",""Helsam - Drift"",""27"",""1"",""19065"""</f>
        <v>"NAV","Helsam - Drift","27","1","19065"</v>
      </c>
      <c r="G108" s="17" t="str">
        <f>"19065"</f>
        <v>19065</v>
      </c>
      <c r="H108" s="23"/>
      <c r="I108" s="18" t="str">
        <f>"Borago eftervask  "</f>
        <v xml:space="preserve">Borago eftervask  </v>
      </c>
      <c r="J108" s="19" t="str">
        <f>"250 ml"</f>
        <v>250 ml</v>
      </c>
      <c r="K108" s="19">
        <v>6</v>
      </c>
      <c r="L108" s="20">
        <v>23.5</v>
      </c>
      <c r="M108" s="20">
        <v>49.95</v>
      </c>
      <c r="N108" s="21">
        <v>19.98</v>
      </c>
      <c r="O108" s="22">
        <f t="shared" si="87"/>
        <v>3.5199999999999996</v>
      </c>
      <c r="P108" s="27">
        <f t="shared" si="84"/>
        <v>0.14978723404255317</v>
      </c>
    </row>
    <row r="109" spans="1:16" ht="16.5" customHeight="1" x14ac:dyDescent="0.3">
      <c r="A109" t="s">
        <v>19</v>
      </c>
      <c r="B109" t="str">
        <f t="shared" si="85"/>
        <v>show</v>
      </c>
      <c r="C109" t="str">
        <f t="shared" si="86"/>
        <v>005</v>
      </c>
      <c r="D109" s="4" t="str">
        <f>"""NAV"",""Helsam - Drift"",""27"",""1"",""19062"""</f>
        <v>"NAV","Helsam - Drift","27","1","19062"</v>
      </c>
      <c r="G109" s="17" t="str">
        <f>"19062"</f>
        <v>19062</v>
      </c>
      <c r="H109" s="23"/>
      <c r="I109" s="18" t="str">
        <f>"Borago hårshampoo  "</f>
        <v xml:space="preserve">Borago hårshampoo  </v>
      </c>
      <c r="J109" s="19" t="str">
        <f>"250 ml"</f>
        <v>250 ml</v>
      </c>
      <c r="K109" s="19">
        <v>6</v>
      </c>
      <c r="L109" s="20">
        <v>19</v>
      </c>
      <c r="M109" s="20">
        <v>39.950000000000003</v>
      </c>
      <c r="N109" s="21">
        <v>16.149999999999999</v>
      </c>
      <c r="O109" s="22">
        <f t="shared" si="87"/>
        <v>2.8500000000000014</v>
      </c>
      <c r="P109" s="27">
        <f t="shared" si="84"/>
        <v>0.15000000000000008</v>
      </c>
    </row>
    <row r="110" spans="1:16" ht="16.5" customHeight="1" x14ac:dyDescent="0.3">
      <c r="A110" t="s">
        <v>19</v>
      </c>
      <c r="B110" t="str">
        <f t="shared" si="85"/>
        <v>show</v>
      </c>
      <c r="C110" t="str">
        <f t="shared" si="86"/>
        <v>005</v>
      </c>
      <c r="D110" s="4" t="str">
        <f>"""NAV"",""Helsam - Drift"",""27"",""1"",""19063"""</f>
        <v>"NAV","Helsam - Drift","27","1","19063"</v>
      </c>
      <c r="G110" s="17" t="str">
        <f>"19063"</f>
        <v>19063</v>
      </c>
      <c r="H110" s="23"/>
      <c r="I110" s="18" t="str">
        <f>"Borago hårshampoo  "</f>
        <v xml:space="preserve">Borago hårshampoo  </v>
      </c>
      <c r="J110" s="19" t="str">
        <f>"500 ml"</f>
        <v>500 ml</v>
      </c>
      <c r="K110" s="19">
        <v>6</v>
      </c>
      <c r="L110" s="20">
        <v>33</v>
      </c>
      <c r="M110" s="20">
        <v>69.95</v>
      </c>
      <c r="N110" s="21">
        <v>28.049999999999997</v>
      </c>
      <c r="O110" s="22">
        <f t="shared" si="87"/>
        <v>4.9500000000000028</v>
      </c>
      <c r="P110" s="27">
        <f t="shared" si="84"/>
        <v>0.15000000000000008</v>
      </c>
    </row>
    <row r="111" spans="1:16" ht="16.5" customHeight="1" x14ac:dyDescent="0.3">
      <c r="A111" t="s">
        <v>19</v>
      </c>
      <c r="B111" t="str">
        <f t="shared" si="85"/>
        <v>show</v>
      </c>
      <c r="C111" t="str">
        <f t="shared" si="86"/>
        <v>005</v>
      </c>
      <c r="D111" s="4" t="str">
        <f>"""NAV"",""Helsam - Drift"",""27"",""1"",""19056"""</f>
        <v>"NAV","Helsam - Drift","27","1","19056"</v>
      </c>
      <c r="G111" s="17" t="str">
        <f>"19056"</f>
        <v>19056</v>
      </c>
      <c r="H111" s="23"/>
      <c r="I111" s="18" t="str">
        <f>"Calendula balsam "</f>
        <v xml:space="preserve">Calendula balsam </v>
      </c>
      <c r="J111" s="19" t="str">
        <f>"250 ml"</f>
        <v>250 ml</v>
      </c>
      <c r="K111" s="19">
        <v>6</v>
      </c>
      <c r="L111" s="20">
        <v>23.5</v>
      </c>
      <c r="M111" s="20">
        <v>49.95</v>
      </c>
      <c r="N111" s="21">
        <v>19.98</v>
      </c>
      <c r="O111" s="22">
        <f t="shared" si="87"/>
        <v>3.5199999999999996</v>
      </c>
      <c r="P111" s="27">
        <f t="shared" si="84"/>
        <v>0.14978723404255317</v>
      </c>
    </row>
    <row r="112" spans="1:16" ht="16.5" customHeight="1" x14ac:dyDescent="0.3">
      <c r="A112" t="s">
        <v>19</v>
      </c>
      <c r="B112" t="str">
        <f t="shared" si="85"/>
        <v>show</v>
      </c>
      <c r="C112" t="str">
        <f t="shared" si="86"/>
        <v>005</v>
      </c>
      <c r="D112" s="4" t="str">
        <f>"""NAV"",""Helsam - Drift"",""27"",""1"",""19057"""</f>
        <v>"NAV","Helsam - Drift","27","1","19057"</v>
      </c>
      <c r="G112" s="17" t="str">
        <f>"19057"</f>
        <v>19057</v>
      </c>
      <c r="H112" s="23"/>
      <c r="I112" s="18" t="str">
        <f>"Calendula bodylotion  "</f>
        <v xml:space="preserve">Calendula bodylotion  </v>
      </c>
      <c r="J112" s="19" t="str">
        <f>"250 ml"</f>
        <v>250 ml</v>
      </c>
      <c r="K112" s="19">
        <v>6</v>
      </c>
      <c r="L112" s="20">
        <v>34</v>
      </c>
      <c r="M112" s="20">
        <v>74</v>
      </c>
      <c r="N112" s="21">
        <v>28.9</v>
      </c>
      <c r="O112" s="22">
        <f t="shared" si="87"/>
        <v>5.1000000000000014</v>
      </c>
      <c r="P112" s="27">
        <f t="shared" si="84"/>
        <v>0.15000000000000005</v>
      </c>
    </row>
    <row r="113" spans="1:16" ht="16.5" customHeight="1" x14ac:dyDescent="0.3">
      <c r="A113" t="s">
        <v>19</v>
      </c>
      <c r="B113" t="str">
        <f t="shared" si="85"/>
        <v>show</v>
      </c>
      <c r="C113" t="str">
        <f t="shared" si="86"/>
        <v>005</v>
      </c>
      <c r="D113" s="4" t="str">
        <f>"""NAV"",""Helsam - Drift"",""27"",""1"",""19055"""</f>
        <v>"NAV","Helsam - Drift","27","1","19055"</v>
      </c>
      <c r="G113" s="17" t="str">
        <f>"19055"</f>
        <v>19055</v>
      </c>
      <c r="H113" s="23"/>
      <c r="I113" s="18" t="str">
        <f>"Calendula bodyshampoo  "</f>
        <v xml:space="preserve">Calendula bodyshampoo  </v>
      </c>
      <c r="J113" s="19" t="str">
        <f>"250 ml"</f>
        <v>250 ml</v>
      </c>
      <c r="K113" s="19">
        <v>6</v>
      </c>
      <c r="L113" s="20">
        <v>19</v>
      </c>
      <c r="M113" s="20">
        <v>39.950000000000003</v>
      </c>
      <c r="N113" s="21">
        <v>16.149999999999999</v>
      </c>
      <c r="O113" s="22">
        <f t="shared" si="87"/>
        <v>2.8500000000000014</v>
      </c>
      <c r="P113" s="27">
        <f t="shared" si="84"/>
        <v>0.15000000000000008</v>
      </c>
    </row>
    <row r="114" spans="1:16" ht="16.5" customHeight="1" x14ac:dyDescent="0.3">
      <c r="A114" t="s">
        <v>19</v>
      </c>
      <c r="B114" t="str">
        <f t="shared" si="85"/>
        <v>show</v>
      </c>
      <c r="C114" t="str">
        <f t="shared" si="86"/>
        <v>005</v>
      </c>
      <c r="D114" s="4" t="str">
        <f>"""NAV"",""Helsam - Drift"",""27"",""1"",""19058"""</f>
        <v>"NAV","Helsam - Drift","27","1","19058"</v>
      </c>
      <c r="G114" s="17" t="str">
        <f>"19058"</f>
        <v>19058</v>
      </c>
      <c r="H114" s="23"/>
      <c r="I114" s="18" t="str">
        <f>"Calendula creme  "</f>
        <v xml:space="preserve">Calendula creme  </v>
      </c>
      <c r="J114" s="19" t="str">
        <f>"60 ml"</f>
        <v>60 ml</v>
      </c>
      <c r="K114" s="19">
        <v>12</v>
      </c>
      <c r="L114" s="20">
        <v>34</v>
      </c>
      <c r="M114" s="20">
        <v>74</v>
      </c>
      <c r="N114" s="21">
        <v>28.9</v>
      </c>
      <c r="O114" s="22">
        <f t="shared" si="87"/>
        <v>5.1000000000000014</v>
      </c>
      <c r="P114" s="27">
        <f t="shared" si="84"/>
        <v>0.15000000000000005</v>
      </c>
    </row>
    <row r="115" spans="1:16" ht="16.5" customHeight="1" x14ac:dyDescent="0.3">
      <c r="A115" t="s">
        <v>19</v>
      </c>
      <c r="B115" t="str">
        <f t="shared" si="85"/>
        <v>show</v>
      </c>
      <c r="C115" t="str">
        <f t="shared" si="86"/>
        <v>005</v>
      </c>
      <c r="D115" s="4" t="str">
        <f>"""NAV"",""Helsam - Drift"",""27"",""1"",""19059"""</f>
        <v>"NAV","Helsam - Drift","27","1","19059"</v>
      </c>
      <c r="G115" s="17" t="str">
        <f>"19059"</f>
        <v>19059</v>
      </c>
      <c r="H115" s="23"/>
      <c r="I115" s="18" t="str">
        <f>"Calendula deodorant roll on  "</f>
        <v xml:space="preserve">Calendula deodorant roll on  </v>
      </c>
      <c r="J115" s="19" t="str">
        <f>"60 ml"</f>
        <v>60 ml</v>
      </c>
      <c r="K115" s="19">
        <v>15</v>
      </c>
      <c r="L115" s="20">
        <v>33</v>
      </c>
      <c r="M115" s="20">
        <v>69.95</v>
      </c>
      <c r="N115" s="21">
        <v>28.049999999999997</v>
      </c>
      <c r="O115" s="22">
        <f t="shared" si="87"/>
        <v>4.9500000000000028</v>
      </c>
      <c r="P115" s="27">
        <f t="shared" si="84"/>
        <v>0.15000000000000008</v>
      </c>
    </row>
    <row r="116" spans="1:16" ht="16.5" customHeight="1" x14ac:dyDescent="0.3">
      <c r="A116" t="s">
        <v>19</v>
      </c>
      <c r="B116" t="str">
        <f t="shared" si="85"/>
        <v>show</v>
      </c>
      <c r="C116" t="str">
        <f t="shared" si="86"/>
        <v>005</v>
      </c>
      <c r="D116" s="4" t="str">
        <f>"""NAV"",""Helsam - Drift"",""27"",""1"",""19053"""</f>
        <v>"NAV","Helsam - Drift","27","1","19053"</v>
      </c>
      <c r="G116" s="17" t="str">
        <f>"19053"</f>
        <v>19053</v>
      </c>
      <c r="H116" s="23"/>
      <c r="I116" s="18" t="str">
        <f>"Calendula hårshampoo  "</f>
        <v xml:space="preserve">Calendula hårshampoo  </v>
      </c>
      <c r="J116" s="19" t="str">
        <f>"250 ml"</f>
        <v>250 ml</v>
      </c>
      <c r="K116" s="19">
        <v>6</v>
      </c>
      <c r="L116" s="20">
        <v>19</v>
      </c>
      <c r="M116" s="20">
        <v>39.950000000000003</v>
      </c>
      <c r="N116" s="21">
        <v>16.149999999999999</v>
      </c>
      <c r="O116" s="22">
        <f t="shared" si="87"/>
        <v>2.8500000000000014</v>
      </c>
      <c r="P116" s="27">
        <f t="shared" si="84"/>
        <v>0.15000000000000008</v>
      </c>
    </row>
    <row r="117" spans="1:16" ht="16.5" customHeight="1" x14ac:dyDescent="0.3">
      <c r="A117" t="s">
        <v>19</v>
      </c>
      <c r="B117" t="str">
        <f t="shared" si="85"/>
        <v>show</v>
      </c>
      <c r="C117" t="str">
        <f t="shared" si="86"/>
        <v>005</v>
      </c>
      <c r="D117" s="4" t="str">
        <f>"""NAV"",""Helsam - Drift"",""27"",""1"",""19054"""</f>
        <v>"NAV","Helsam - Drift","27","1","19054"</v>
      </c>
      <c r="G117" s="17" t="str">
        <f>"19054"</f>
        <v>19054</v>
      </c>
      <c r="H117" s="23"/>
      <c r="I117" s="18" t="str">
        <f>"Calendula hårshampoo  "</f>
        <v xml:space="preserve">Calendula hårshampoo  </v>
      </c>
      <c r="J117" s="19" t="str">
        <f>"500 ml"</f>
        <v>500 ml</v>
      </c>
      <c r="K117" s="19">
        <v>6</v>
      </c>
      <c r="L117" s="20">
        <v>33</v>
      </c>
      <c r="M117" s="20">
        <v>69.95</v>
      </c>
      <c r="N117" s="21">
        <v>28.049999999999997</v>
      </c>
      <c r="O117" s="22">
        <f t="shared" si="87"/>
        <v>4.9500000000000028</v>
      </c>
      <c r="P117" s="27">
        <f t="shared" si="84"/>
        <v>0.15000000000000008</v>
      </c>
    </row>
    <row r="118" spans="1:16" ht="16.5" customHeight="1" x14ac:dyDescent="0.3">
      <c r="A118" t="s">
        <v>19</v>
      </c>
      <c r="B118" t="str">
        <f t="shared" si="85"/>
        <v>show</v>
      </c>
      <c r="C118" t="str">
        <f t="shared" si="86"/>
        <v>005</v>
      </c>
      <c r="D118" s="4" t="str">
        <f>"""NAV"",""Helsam - Drift"",""27"",""1"",""1112"""</f>
        <v>"NAV","Helsam - Drift","27","1","1112"</v>
      </c>
      <c r="G118" s="17" t="str">
        <f>"1112"</f>
        <v>1112</v>
      </c>
      <c r="H118" s="23"/>
      <c r="I118" s="18" t="str">
        <f>"Eftervask Balsam  "</f>
        <v xml:space="preserve">Eftervask Balsam  </v>
      </c>
      <c r="J118" s="19" t="str">
        <f>"250 ml"</f>
        <v>250 ml</v>
      </c>
      <c r="K118" s="19">
        <v>6</v>
      </c>
      <c r="L118" s="20">
        <v>23.5</v>
      </c>
      <c r="M118" s="20">
        <v>49.95</v>
      </c>
      <c r="N118" s="21">
        <v>19.98</v>
      </c>
      <c r="O118" s="22">
        <f t="shared" si="87"/>
        <v>3.5199999999999996</v>
      </c>
      <c r="P118" s="27">
        <f t="shared" si="84"/>
        <v>0.14978723404255317</v>
      </c>
    </row>
    <row r="119" spans="1:16" ht="16.5" customHeight="1" x14ac:dyDescent="0.3">
      <c r="A119" t="s">
        <v>19</v>
      </c>
      <c r="B119" t="str">
        <f t="shared" si="85"/>
        <v>show</v>
      </c>
      <c r="C119" t="str">
        <f t="shared" si="86"/>
        <v>005</v>
      </c>
      <c r="D119" s="4" t="str">
        <f>"""NAV"",""Helsam - Drift"",""27"",""1"",""1113"""</f>
        <v>"NAV","Helsam - Drift","27","1","1113"</v>
      </c>
      <c r="G119" s="17" t="str">
        <f>"1113"</f>
        <v>1113</v>
      </c>
      <c r="H119" s="23"/>
      <c r="I119" s="18" t="str">
        <f>"Eftervask Balsam  "</f>
        <v xml:space="preserve">Eftervask Balsam  </v>
      </c>
      <c r="J119" s="19" t="str">
        <f>"500 ml"</f>
        <v>500 ml</v>
      </c>
      <c r="K119" s="19">
        <v>6</v>
      </c>
      <c r="L119" s="20">
        <v>33</v>
      </c>
      <c r="M119" s="20">
        <v>69.95</v>
      </c>
      <c r="N119" s="21">
        <v>28.049999999999997</v>
      </c>
      <c r="O119" s="22">
        <f t="shared" si="87"/>
        <v>4.9500000000000028</v>
      </c>
      <c r="P119" s="27">
        <f t="shared" si="84"/>
        <v>0.15000000000000008</v>
      </c>
    </row>
    <row r="120" spans="1:16" ht="16.5" customHeight="1" x14ac:dyDescent="0.3">
      <c r="A120" t="s">
        <v>19</v>
      </c>
      <c r="B120" t="str">
        <f t="shared" si="85"/>
        <v>show</v>
      </c>
      <c r="C120" t="str">
        <f t="shared" si="86"/>
        <v>005</v>
      </c>
      <c r="D120" s="4" t="str">
        <f>"""NAV"",""Helsam - Drift"",""27"",""1"",""19106"""</f>
        <v>"NAV","Helsam - Drift","27","1","19106"</v>
      </c>
      <c r="G120" s="17" t="str">
        <f>"19106"</f>
        <v>19106</v>
      </c>
      <c r="H120" s="23"/>
      <c r="I120" s="18" t="str">
        <f>"Eftervask Balsam "</f>
        <v xml:space="preserve">Eftervask Balsam </v>
      </c>
      <c r="J120" s="19" t="str">
        <f>"1 ltr"</f>
        <v>1 ltr</v>
      </c>
      <c r="K120" s="19">
        <v>6</v>
      </c>
      <c r="L120" s="20">
        <v>47</v>
      </c>
      <c r="M120" s="20">
        <v>98</v>
      </c>
      <c r="N120" s="21">
        <v>39.950000000000003</v>
      </c>
      <c r="O120" s="22">
        <f t="shared" si="87"/>
        <v>7.0499999999999972</v>
      </c>
      <c r="P120" s="27">
        <f t="shared" si="84"/>
        <v>0.14999999999999994</v>
      </c>
    </row>
    <row r="121" spans="1:16" ht="16.5" customHeight="1" x14ac:dyDescent="0.3">
      <c r="A121" t="s">
        <v>19</v>
      </c>
      <c r="B121" t="str">
        <f t="shared" si="85"/>
        <v>show</v>
      </c>
      <c r="C121" t="str">
        <f t="shared" si="86"/>
        <v>005</v>
      </c>
      <c r="D121" s="4" t="str">
        <f>"""NAV"",""Helsam - Drift"",""27"",""1"",""19075"""</f>
        <v>"NAV","Helsam - Drift","27","1","19075"</v>
      </c>
      <c r="G121" s="17" t="str">
        <f>"19075"</f>
        <v>19075</v>
      </c>
      <c r="H121" s="23"/>
      <c r="I121" s="18" t="str">
        <f>"E-vitamin bodylotion  "</f>
        <v xml:space="preserve">E-vitamin bodylotion  </v>
      </c>
      <c r="J121" s="19" t="str">
        <f>"250 ml"</f>
        <v>250 ml</v>
      </c>
      <c r="K121" s="19">
        <v>6</v>
      </c>
      <c r="L121" s="20">
        <v>34</v>
      </c>
      <c r="M121" s="20">
        <v>74</v>
      </c>
      <c r="N121" s="21">
        <v>28.9</v>
      </c>
      <c r="O121" s="22">
        <f t="shared" si="87"/>
        <v>5.1000000000000014</v>
      </c>
      <c r="P121" s="27">
        <f t="shared" si="84"/>
        <v>0.15000000000000005</v>
      </c>
    </row>
    <row r="122" spans="1:16" ht="16.5" customHeight="1" x14ac:dyDescent="0.3">
      <c r="A122" t="s">
        <v>19</v>
      </c>
      <c r="B122" t="str">
        <f t="shared" si="85"/>
        <v>show</v>
      </c>
      <c r="C122" t="str">
        <f t="shared" si="86"/>
        <v>005</v>
      </c>
      <c r="D122" s="4" t="str">
        <f>"""NAV"",""Helsam - Drift"",""27"",""1"",""19073"""</f>
        <v>"NAV","Helsam - Drift","27","1","19073"</v>
      </c>
      <c r="G122" s="17" t="str">
        <f>"19073"</f>
        <v>19073</v>
      </c>
      <c r="H122" s="23"/>
      <c r="I122" s="18" t="str">
        <f>"E-vitamin bodyshampoo  "</f>
        <v xml:space="preserve">E-vitamin bodyshampoo  </v>
      </c>
      <c r="J122" s="19" t="str">
        <f>"250 ml"</f>
        <v>250 ml</v>
      </c>
      <c r="K122" s="19">
        <v>6</v>
      </c>
      <c r="L122" s="20">
        <v>19</v>
      </c>
      <c r="M122" s="20">
        <v>39.950000000000003</v>
      </c>
      <c r="N122" s="21">
        <v>16.149999999999999</v>
      </c>
      <c r="O122" s="22">
        <f t="shared" si="87"/>
        <v>2.8500000000000014</v>
      </c>
      <c r="P122" s="27">
        <f t="shared" si="84"/>
        <v>0.15000000000000008</v>
      </c>
    </row>
    <row r="123" spans="1:16" ht="16.5" customHeight="1" x14ac:dyDescent="0.3">
      <c r="A123" t="s">
        <v>19</v>
      </c>
      <c r="B123" t="str">
        <f t="shared" si="85"/>
        <v>show</v>
      </c>
      <c r="C123" t="str">
        <f t="shared" si="86"/>
        <v>005</v>
      </c>
      <c r="D123" s="4" t="str">
        <f>"""NAV"",""Helsam - Drift"",""27"",""1"",""19076"""</f>
        <v>"NAV","Helsam - Drift","27","1","19076"</v>
      </c>
      <c r="G123" s="17" t="str">
        <f>"19076"</f>
        <v>19076</v>
      </c>
      <c r="H123" s="23"/>
      <c r="I123" s="18" t="str">
        <f>"E-vitamin creme  "</f>
        <v xml:space="preserve">E-vitamin creme  </v>
      </c>
      <c r="J123" s="19" t="str">
        <f>"60 ml"</f>
        <v>60 ml</v>
      </c>
      <c r="K123" s="19">
        <v>12</v>
      </c>
      <c r="L123" s="20">
        <v>34</v>
      </c>
      <c r="M123" s="20">
        <v>74</v>
      </c>
      <c r="N123" s="21">
        <v>28.9</v>
      </c>
      <c r="O123" s="22">
        <f t="shared" si="87"/>
        <v>5.1000000000000014</v>
      </c>
      <c r="P123" s="27">
        <f t="shared" si="84"/>
        <v>0.15000000000000005</v>
      </c>
    </row>
    <row r="124" spans="1:16" ht="16.5" customHeight="1" x14ac:dyDescent="0.3">
      <c r="A124" t="s">
        <v>19</v>
      </c>
      <c r="B124" t="str">
        <f t="shared" si="85"/>
        <v>show</v>
      </c>
      <c r="C124" t="str">
        <f t="shared" si="86"/>
        <v>005</v>
      </c>
      <c r="D124" s="4" t="str">
        <f>"""NAV"",""Helsam - Drift"",""27"",""1"",""19077"""</f>
        <v>"NAV","Helsam - Drift","27","1","19077"</v>
      </c>
      <c r="G124" s="17" t="str">
        <f>"19077"</f>
        <v>19077</v>
      </c>
      <c r="H124" s="23"/>
      <c r="I124" s="18" t="str">
        <f>"E-vitamin deodorant roll on  "</f>
        <v xml:space="preserve">E-vitamin deodorant roll on  </v>
      </c>
      <c r="J124" s="19" t="str">
        <f>"60 ml"</f>
        <v>60 ml</v>
      </c>
      <c r="K124" s="19">
        <v>6</v>
      </c>
      <c r="L124" s="20">
        <v>33</v>
      </c>
      <c r="M124" s="20">
        <v>69.95</v>
      </c>
      <c r="N124" s="21">
        <v>28.049999999999997</v>
      </c>
      <c r="O124" s="22">
        <f t="shared" si="87"/>
        <v>4.9500000000000028</v>
      </c>
      <c r="P124" s="27">
        <f t="shared" si="84"/>
        <v>0.15000000000000008</v>
      </c>
    </row>
    <row r="125" spans="1:16" ht="16.5" customHeight="1" x14ac:dyDescent="0.3">
      <c r="A125" t="s">
        <v>19</v>
      </c>
      <c r="B125" t="str">
        <f t="shared" si="85"/>
        <v>show</v>
      </c>
      <c r="C125" t="str">
        <f t="shared" si="86"/>
        <v>005</v>
      </c>
      <c r="D125" s="4" t="str">
        <f>"""NAV"",""Helsam - Drift"",""27"",""1"",""19074"""</f>
        <v>"NAV","Helsam - Drift","27","1","19074"</v>
      </c>
      <c r="G125" s="17" t="str">
        <f>"19074"</f>
        <v>19074</v>
      </c>
      <c r="H125" s="23"/>
      <c r="I125" s="18" t="str">
        <f>"E-vitamin eftervask  "</f>
        <v xml:space="preserve">E-vitamin eftervask  </v>
      </c>
      <c r="J125" s="19" t="str">
        <f>"250 ml"</f>
        <v>250 ml</v>
      </c>
      <c r="K125" s="19">
        <v>6</v>
      </c>
      <c r="L125" s="20">
        <v>23.5</v>
      </c>
      <c r="M125" s="20">
        <v>49.95</v>
      </c>
      <c r="N125" s="21">
        <v>19.98</v>
      </c>
      <c r="O125" s="22">
        <f t="shared" si="87"/>
        <v>3.5199999999999996</v>
      </c>
      <c r="P125" s="27">
        <f t="shared" si="84"/>
        <v>0.14978723404255317</v>
      </c>
    </row>
    <row r="126" spans="1:16" ht="16.5" customHeight="1" x14ac:dyDescent="0.3">
      <c r="A126" t="s">
        <v>19</v>
      </c>
      <c r="B126" t="str">
        <f t="shared" si="85"/>
        <v>show</v>
      </c>
      <c r="C126" t="str">
        <f t="shared" si="86"/>
        <v>005</v>
      </c>
      <c r="D126" s="4" t="str">
        <f>"""NAV"",""Helsam - Drift"",""27"",""1"",""19071"""</f>
        <v>"NAV","Helsam - Drift","27","1","19071"</v>
      </c>
      <c r="G126" s="17" t="str">
        <f>"19071"</f>
        <v>19071</v>
      </c>
      <c r="H126" s="23"/>
      <c r="I126" s="18" t="str">
        <f>"E-vitamin hårshampoo  "</f>
        <v xml:space="preserve">E-vitamin hårshampoo  </v>
      </c>
      <c r="J126" s="19" t="str">
        <f>"250 ml"</f>
        <v>250 ml</v>
      </c>
      <c r="K126" s="19">
        <v>6</v>
      </c>
      <c r="L126" s="20">
        <v>19</v>
      </c>
      <c r="M126" s="20">
        <v>39.950000000000003</v>
      </c>
      <c r="N126" s="21">
        <v>16.149999999999999</v>
      </c>
      <c r="O126" s="22">
        <f t="shared" si="87"/>
        <v>2.8500000000000014</v>
      </c>
      <c r="P126" s="27">
        <f t="shared" si="84"/>
        <v>0.15000000000000008</v>
      </c>
    </row>
    <row r="127" spans="1:16" ht="16.5" customHeight="1" x14ac:dyDescent="0.3">
      <c r="A127" t="s">
        <v>19</v>
      </c>
      <c r="B127" t="str">
        <f t="shared" si="85"/>
        <v>show</v>
      </c>
      <c r="C127" t="str">
        <f t="shared" si="86"/>
        <v>005</v>
      </c>
      <c r="D127" s="4" t="str">
        <f>"""NAV"",""Helsam - Drift"",""27"",""1"",""19072"""</f>
        <v>"NAV","Helsam - Drift","27","1","19072"</v>
      </c>
      <c r="G127" s="17" t="str">
        <f>"19072"</f>
        <v>19072</v>
      </c>
      <c r="H127" s="23"/>
      <c r="I127" s="18" t="str">
        <f>"E-vitamin hårshampoo "</f>
        <v xml:space="preserve">E-vitamin hårshampoo </v>
      </c>
      <c r="J127" s="19" t="str">
        <f>"500 ml"</f>
        <v>500 ml</v>
      </c>
      <c r="K127" s="19">
        <v>6</v>
      </c>
      <c r="L127" s="20">
        <v>33</v>
      </c>
      <c r="M127" s="20">
        <v>69.95</v>
      </c>
      <c r="N127" s="21">
        <v>28.049999999999997</v>
      </c>
      <c r="O127" s="22">
        <f t="shared" si="87"/>
        <v>4.9500000000000028</v>
      </c>
      <c r="P127" s="27">
        <f t="shared" si="84"/>
        <v>0.15000000000000008</v>
      </c>
    </row>
    <row r="128" spans="1:16" ht="16.5" customHeight="1" x14ac:dyDescent="0.3">
      <c r="A128" t="s">
        <v>19</v>
      </c>
      <c r="B128" t="str">
        <f t="shared" si="85"/>
        <v>show</v>
      </c>
      <c r="C128" t="str">
        <f t="shared" si="86"/>
        <v>005</v>
      </c>
      <c r="D128" s="4" t="str">
        <f>"""NAV"",""Helsam - Drift"",""27"",""1"",""1102"""</f>
        <v>"NAV","Helsam - Drift","27","1","1102"</v>
      </c>
      <c r="G128" s="17" t="str">
        <f>"1102"</f>
        <v>1102</v>
      </c>
      <c r="H128" s="23"/>
      <c r="I128" s="18" t="str">
        <f>"Jasmin Shampoo "</f>
        <v xml:space="preserve">Jasmin Shampoo </v>
      </c>
      <c r="J128" s="19" t="str">
        <f>"250 ml"</f>
        <v>250 ml</v>
      </c>
      <c r="K128" s="19">
        <v>6</v>
      </c>
      <c r="L128" s="20">
        <v>23.5</v>
      </c>
      <c r="M128" s="20">
        <v>49.95</v>
      </c>
      <c r="N128" s="21">
        <v>19.98</v>
      </c>
      <c r="O128" s="22">
        <f t="shared" si="87"/>
        <v>3.5199999999999996</v>
      </c>
      <c r="P128" s="27">
        <f t="shared" si="84"/>
        <v>0.14978723404255317</v>
      </c>
    </row>
    <row r="129" spans="1:16" ht="16.5" customHeight="1" x14ac:dyDescent="0.3">
      <c r="A129" t="s">
        <v>19</v>
      </c>
      <c r="B129" t="str">
        <f t="shared" si="85"/>
        <v>show</v>
      </c>
      <c r="C129" t="str">
        <f t="shared" si="86"/>
        <v>005</v>
      </c>
      <c r="D129" s="4" t="str">
        <f>"""NAV"",""Helsam - Drift"",""27"",""1"",""1103"""</f>
        <v>"NAV","Helsam - Drift","27","1","1103"</v>
      </c>
      <c r="G129" s="17" t="str">
        <f>"1103"</f>
        <v>1103</v>
      </c>
      <c r="H129" s="23"/>
      <c r="I129" s="18" t="str">
        <f>"Jasmin Shampoo "</f>
        <v xml:space="preserve">Jasmin Shampoo </v>
      </c>
      <c r="J129" s="19" t="str">
        <f>"500 ml"</f>
        <v>500 ml</v>
      </c>
      <c r="K129" s="19">
        <v>6</v>
      </c>
      <c r="L129" s="20">
        <v>33</v>
      </c>
      <c r="M129" s="20">
        <v>69.95</v>
      </c>
      <c r="N129" s="21">
        <v>28.049999999999997</v>
      </c>
      <c r="O129" s="22">
        <f t="shared" si="87"/>
        <v>4.9500000000000028</v>
      </c>
      <c r="P129" s="27">
        <f t="shared" si="84"/>
        <v>0.15000000000000008</v>
      </c>
    </row>
    <row r="130" spans="1:16" ht="16.5" customHeight="1" x14ac:dyDescent="0.3">
      <c r="A130" t="s">
        <v>19</v>
      </c>
      <c r="B130" t="str">
        <f t="shared" si="85"/>
        <v>show</v>
      </c>
      <c r="C130" t="str">
        <f t="shared" si="86"/>
        <v>005</v>
      </c>
      <c r="D130" s="4" t="str">
        <f>"""NAV"",""Helsam - Drift"",""27"",""1"",""19102"""</f>
        <v>"NAV","Helsam - Drift","27","1","19102"</v>
      </c>
      <c r="G130" s="17" t="str">
        <f>"19102"</f>
        <v>19102</v>
      </c>
      <c r="H130" s="23"/>
      <c r="I130" s="18" t="str">
        <f>"Jasmin Shampoo "</f>
        <v xml:space="preserve">Jasmin Shampoo </v>
      </c>
      <c r="J130" s="19" t="str">
        <f>"1 ltr"</f>
        <v>1 ltr</v>
      </c>
      <c r="K130" s="19">
        <v>6</v>
      </c>
      <c r="L130" s="20">
        <v>47</v>
      </c>
      <c r="M130" s="20">
        <v>98</v>
      </c>
      <c r="N130" s="21">
        <v>39.950000000000003</v>
      </c>
      <c r="O130" s="22">
        <f t="shared" si="87"/>
        <v>7.0499999999999972</v>
      </c>
      <c r="P130" s="27">
        <f t="shared" si="84"/>
        <v>0.14999999999999994</v>
      </c>
    </row>
    <row r="131" spans="1:16" ht="16.5" customHeight="1" x14ac:dyDescent="0.3">
      <c r="A131" t="s">
        <v>19</v>
      </c>
      <c r="B131" t="str">
        <f t="shared" si="85"/>
        <v>show</v>
      </c>
      <c r="C131" t="str">
        <f t="shared" si="86"/>
        <v>005</v>
      </c>
      <c r="D131" s="4" t="str">
        <f>"""NAV"",""Helsam - Drift"",""27"",""1"",""1100"""</f>
        <v>"NAV","Helsam - Drift","27","1","1100"</v>
      </c>
      <c r="G131" s="17" t="str">
        <f>"1100"</f>
        <v>1100</v>
      </c>
      <c r="H131" s="23"/>
      <c r="I131" s="18" t="str">
        <f>"Lavendel Shampoo "</f>
        <v xml:space="preserve">Lavendel Shampoo </v>
      </c>
      <c r="J131" s="19" t="str">
        <f>"250 ml"</f>
        <v>250 ml</v>
      </c>
      <c r="K131" s="19">
        <v>6</v>
      </c>
      <c r="L131" s="20">
        <v>23.5</v>
      </c>
      <c r="M131" s="20">
        <v>49.95</v>
      </c>
      <c r="N131" s="21">
        <v>19.98</v>
      </c>
      <c r="O131" s="22">
        <f t="shared" si="87"/>
        <v>3.5199999999999996</v>
      </c>
      <c r="P131" s="27">
        <f t="shared" si="84"/>
        <v>0.14978723404255317</v>
      </c>
    </row>
    <row r="132" spans="1:16" ht="16.5" customHeight="1" x14ac:dyDescent="0.3">
      <c r="A132" t="s">
        <v>19</v>
      </c>
      <c r="B132" t="str">
        <f t="shared" si="85"/>
        <v>show</v>
      </c>
      <c r="C132" t="str">
        <f t="shared" si="86"/>
        <v>005</v>
      </c>
      <c r="D132" s="4" t="str">
        <f>"""NAV"",""Helsam - Drift"",""27"",""1"",""1101"""</f>
        <v>"NAV","Helsam - Drift","27","1","1101"</v>
      </c>
      <c r="G132" s="17" t="str">
        <f>"1101"</f>
        <v>1101</v>
      </c>
      <c r="H132" s="23"/>
      <c r="I132" s="18" t="str">
        <f>"Lavendel Shampoo "</f>
        <v xml:space="preserve">Lavendel Shampoo </v>
      </c>
      <c r="J132" s="19" t="str">
        <f>"500 ml"</f>
        <v>500 ml</v>
      </c>
      <c r="K132" s="19">
        <v>6</v>
      </c>
      <c r="L132" s="20">
        <v>33</v>
      </c>
      <c r="M132" s="20">
        <v>69.95</v>
      </c>
      <c r="N132" s="21">
        <v>28.049999999999997</v>
      </c>
      <c r="O132" s="22">
        <f t="shared" si="87"/>
        <v>4.9500000000000028</v>
      </c>
      <c r="P132" s="27">
        <f t="shared" si="84"/>
        <v>0.15000000000000008</v>
      </c>
    </row>
    <row r="133" spans="1:16" ht="16.5" customHeight="1" x14ac:dyDescent="0.3">
      <c r="A133" t="s">
        <v>19</v>
      </c>
      <c r="B133" t="str">
        <f t="shared" si="85"/>
        <v>show</v>
      </c>
      <c r="C133" t="str">
        <f t="shared" si="86"/>
        <v>005</v>
      </c>
      <c r="D133" s="4" t="str">
        <f>"""NAV"",""Helsam - Drift"",""27"",""1"",""19103"""</f>
        <v>"NAV","Helsam - Drift","27","1","19103"</v>
      </c>
      <c r="G133" s="17" t="str">
        <f>"19103"</f>
        <v>19103</v>
      </c>
      <c r="H133" s="23"/>
      <c r="I133" s="18" t="str">
        <f>"Lavendel Shampoo "</f>
        <v xml:space="preserve">Lavendel Shampoo </v>
      </c>
      <c r="J133" s="19" t="str">
        <f>"1 ltr"</f>
        <v>1 ltr</v>
      </c>
      <c r="K133" s="19">
        <v>6</v>
      </c>
      <c r="L133" s="20">
        <v>47</v>
      </c>
      <c r="M133" s="20">
        <v>98</v>
      </c>
      <c r="N133" s="21">
        <v>39.950000000000003</v>
      </c>
      <c r="O133" s="22">
        <f t="shared" si="87"/>
        <v>7.0499999999999972</v>
      </c>
      <c r="P133" s="27">
        <f t="shared" si="84"/>
        <v>0.14999999999999994</v>
      </c>
    </row>
    <row r="134" spans="1:16" ht="16.5" customHeight="1" x14ac:dyDescent="0.3">
      <c r="A134" t="s">
        <v>19</v>
      </c>
      <c r="B134" t="str">
        <f t="shared" si="85"/>
        <v>show</v>
      </c>
      <c r="C134" t="str">
        <f t="shared" si="86"/>
        <v>005</v>
      </c>
      <c r="D134" s="4" t="str">
        <f>"""NAV"",""Helsam - Drift"",""27"",""1"",""1139"""</f>
        <v>"NAV","Helsam - Drift","27","1","1139"</v>
      </c>
      <c r="G134" s="17" t="str">
        <f>"1139"</f>
        <v>1139</v>
      </c>
      <c r="H134" s="23"/>
      <c r="I134" s="18" t="str">
        <f>"Rosen Shampoo  "</f>
        <v xml:space="preserve">Rosen Shampoo  </v>
      </c>
      <c r="J134" s="19" t="str">
        <f>"250 ml"</f>
        <v>250 ml</v>
      </c>
      <c r="K134" s="19">
        <v>6</v>
      </c>
      <c r="L134" s="20">
        <v>23.5</v>
      </c>
      <c r="M134" s="20">
        <v>49.95</v>
      </c>
      <c r="N134" s="21">
        <v>19.98</v>
      </c>
      <c r="O134" s="22">
        <f t="shared" si="87"/>
        <v>3.5199999999999996</v>
      </c>
      <c r="P134" s="27">
        <f t="shared" si="84"/>
        <v>0.14978723404255317</v>
      </c>
    </row>
    <row r="135" spans="1:16" ht="16.5" customHeight="1" x14ac:dyDescent="0.3">
      <c r="A135" t="s">
        <v>19</v>
      </c>
      <c r="B135" t="str">
        <f t="shared" si="85"/>
        <v>show</v>
      </c>
      <c r="C135" t="str">
        <f t="shared" si="86"/>
        <v>005</v>
      </c>
      <c r="D135" s="4" t="str">
        <f>"""NAV"",""Helsam - Drift"",""27"",""1"",""1140"""</f>
        <v>"NAV","Helsam - Drift","27","1","1140"</v>
      </c>
      <c r="G135" s="17" t="str">
        <f>"1140"</f>
        <v>1140</v>
      </c>
      <c r="H135" s="23"/>
      <c r="I135" s="18" t="str">
        <f>"Rosen Shampoo  "</f>
        <v xml:space="preserve">Rosen Shampoo  </v>
      </c>
      <c r="J135" s="19" t="str">
        <f>"500 ml"</f>
        <v>500 ml</v>
      </c>
      <c r="K135" s="19">
        <v>6</v>
      </c>
      <c r="L135" s="20">
        <v>33</v>
      </c>
      <c r="M135" s="20">
        <v>69.95</v>
      </c>
      <c r="N135" s="21">
        <v>28.049999999999997</v>
      </c>
      <c r="O135" s="22">
        <f t="shared" si="87"/>
        <v>4.9500000000000028</v>
      </c>
      <c r="P135" s="27">
        <f t="shared" si="84"/>
        <v>0.15000000000000008</v>
      </c>
    </row>
    <row r="136" spans="1:16" ht="16.5" customHeight="1" x14ac:dyDescent="0.3">
      <c r="A136" t="s">
        <v>19</v>
      </c>
      <c r="B136" t="str">
        <f t="shared" si="85"/>
        <v>show</v>
      </c>
      <c r="C136" t="str">
        <f t="shared" si="86"/>
        <v>005</v>
      </c>
      <c r="D136" s="4" t="str">
        <f>"""NAV"",""Helsam - Drift"",""27"",""1"",""19100"""</f>
        <v>"NAV","Helsam - Drift","27","1","19100"</v>
      </c>
      <c r="G136" s="17" t="str">
        <f>"19100"</f>
        <v>19100</v>
      </c>
      <c r="H136" s="23"/>
      <c r="I136" s="18" t="str">
        <f>"Rosen Shampoo "</f>
        <v xml:space="preserve">Rosen Shampoo </v>
      </c>
      <c r="J136" s="19" t="str">
        <f>"1 ltr"</f>
        <v>1 ltr</v>
      </c>
      <c r="K136" s="19">
        <v>6</v>
      </c>
      <c r="L136" s="20">
        <v>47</v>
      </c>
      <c r="M136" s="20">
        <v>98</v>
      </c>
      <c r="N136" s="21">
        <v>39.950000000000003</v>
      </c>
      <c r="O136" s="22">
        <f t="shared" si="87"/>
        <v>7.0499999999999972</v>
      </c>
      <c r="P136" s="27">
        <f t="shared" si="84"/>
        <v>0.14999999999999994</v>
      </c>
    </row>
    <row r="137" spans="1:16" ht="16.5" customHeight="1" x14ac:dyDescent="0.3">
      <c r="A137" t="s">
        <v>19</v>
      </c>
      <c r="B137" t="str">
        <f t="shared" si="85"/>
        <v>show</v>
      </c>
      <c r="C137" t="str">
        <f t="shared" si="86"/>
        <v>005</v>
      </c>
      <c r="D137" s="4" t="str">
        <f>"""NAV"",""Helsam - Drift"",""27"",""1"",""10802"""</f>
        <v>"NAV","Helsam - Drift","27","1","10802"</v>
      </c>
      <c r="G137" s="17" t="str">
        <f>"10802"</f>
        <v>10802</v>
      </c>
      <c r="H137" s="23"/>
      <c r="I137" s="18" t="str">
        <f>"Tandpasta Fennikel m. fluor Kingfischer"</f>
        <v>Tandpasta Fennikel m. fluor Kingfischer</v>
      </c>
      <c r="J137" s="19" t="str">
        <f>"100 ml"</f>
        <v>100 ml</v>
      </c>
      <c r="K137" s="19">
        <v>12</v>
      </c>
      <c r="L137" s="20">
        <v>31.5</v>
      </c>
      <c r="M137" s="20">
        <v>59</v>
      </c>
      <c r="N137" s="21">
        <v>26.78</v>
      </c>
      <c r="O137" s="22">
        <f t="shared" si="87"/>
        <v>4.7199999999999989</v>
      </c>
      <c r="P137" s="27">
        <f t="shared" si="84"/>
        <v>0.1498412698412698</v>
      </c>
    </row>
    <row r="138" spans="1:16" ht="16.5" customHeight="1" x14ac:dyDescent="0.3">
      <c r="A138" t="s">
        <v>19</v>
      </c>
      <c r="B138" t="str">
        <f t="shared" si="85"/>
        <v>show</v>
      </c>
      <c r="C138" t="str">
        <f t="shared" si="86"/>
        <v>005</v>
      </c>
      <c r="D138" s="4" t="str">
        <f>"""NAV"",""Helsam - Drift"",""27"",""1"",""10853"""</f>
        <v>"NAV","Helsam - Drift","27","1","10853"</v>
      </c>
      <c r="G138" s="17" t="str">
        <f>"10853"</f>
        <v>10853</v>
      </c>
      <c r="H138" s="23"/>
      <c r="I138" s="18" t="str">
        <f>"Tandpasta Fennikel u. fluor  Kingfischer"</f>
        <v>Tandpasta Fennikel u. fluor  Kingfischer</v>
      </c>
      <c r="J138" s="19" t="str">
        <f>"100 ml"</f>
        <v>100 ml</v>
      </c>
      <c r="K138" s="19">
        <v>12</v>
      </c>
      <c r="L138" s="20">
        <v>31.5</v>
      </c>
      <c r="M138" s="20">
        <v>59</v>
      </c>
      <c r="N138" s="21">
        <v>26.78</v>
      </c>
      <c r="O138" s="22">
        <f t="shared" si="87"/>
        <v>4.7199999999999989</v>
      </c>
      <c r="P138" s="27">
        <f t="shared" si="84"/>
        <v>0.1498412698412698</v>
      </c>
    </row>
    <row r="139" spans="1:16" ht="16.5" customHeight="1" x14ac:dyDescent="0.3">
      <c r="A139" t="s">
        <v>19</v>
      </c>
      <c r="B139" t="str">
        <f t="shared" si="85"/>
        <v>show</v>
      </c>
      <c r="C139" t="str">
        <f t="shared" si="86"/>
        <v>005</v>
      </c>
      <c r="D139" s="4" t="str">
        <f>"""NAV"",""Helsam - Drift"",""27"",""1"",""10804"""</f>
        <v>"NAV","Helsam - Drift","27","1","10804"</v>
      </c>
      <c r="G139" s="17" t="str">
        <f>"10804"</f>
        <v>10804</v>
      </c>
      <c r="H139" s="23"/>
      <c r="I139" s="18" t="str">
        <f>"Tandpasta Mynte m. fluor Kingfischer"</f>
        <v>Tandpasta Mynte m. fluor Kingfischer</v>
      </c>
      <c r="J139" s="19" t="str">
        <f>"100 ml"</f>
        <v>100 ml</v>
      </c>
      <c r="K139" s="19">
        <v>12</v>
      </c>
      <c r="L139" s="20">
        <v>31.5</v>
      </c>
      <c r="M139" s="20">
        <v>59</v>
      </c>
      <c r="N139" s="21">
        <v>26.78</v>
      </c>
      <c r="O139" s="22">
        <f t="shared" si="87"/>
        <v>4.7199999999999989</v>
      </c>
      <c r="P139" s="27">
        <f t="shared" si="84"/>
        <v>0.1498412698412698</v>
      </c>
    </row>
    <row r="140" spans="1:16" ht="16.5" customHeight="1" x14ac:dyDescent="0.3">
      <c r="A140" t="s">
        <v>19</v>
      </c>
      <c r="B140" t="str">
        <f t="shared" si="85"/>
        <v>show</v>
      </c>
      <c r="C140" t="str">
        <f t="shared" si="86"/>
        <v>005</v>
      </c>
      <c r="D140" s="4" t="str">
        <f>"""NAV"",""Helsam - Drift"",""27"",""1"",""10803"""</f>
        <v>"NAV","Helsam - Drift","27","1","10803"</v>
      </c>
      <c r="G140" s="17" t="str">
        <f>"10803"</f>
        <v>10803</v>
      </c>
      <c r="H140" s="23"/>
      <c r="I140" s="18" t="str">
        <f>"Tandpasta Mynte u. fluor Kingfischer"</f>
        <v>Tandpasta Mynte u. fluor Kingfischer</v>
      </c>
      <c r="J140" s="19" t="str">
        <f>"100 ml"</f>
        <v>100 ml</v>
      </c>
      <c r="K140" s="19">
        <v>12</v>
      </c>
      <c r="L140" s="20">
        <v>31.5</v>
      </c>
      <c r="M140" s="20">
        <v>59</v>
      </c>
      <c r="N140" s="21">
        <v>26.78</v>
      </c>
      <c r="O140" s="22">
        <f t="shared" si="87"/>
        <v>4.7199999999999989</v>
      </c>
      <c r="P140" s="27">
        <f t="shared" si="84"/>
        <v>0.1498412698412698</v>
      </c>
    </row>
    <row r="141" spans="1:16" ht="13.5" customHeight="1" x14ac:dyDescent="0.25">
      <c r="A141" t="s">
        <v>19</v>
      </c>
      <c r="B141" t="str">
        <f t="shared" ref="B141" si="88">IF(G101="","Skjul","show")</f>
        <v>show</v>
      </c>
      <c r="D141" s="4"/>
      <c r="G141" s="8"/>
      <c r="H141" s="8"/>
      <c r="I141" s="8"/>
      <c r="J141" s="8"/>
      <c r="K141" s="8"/>
      <c r="L141" s="8"/>
      <c r="M141" s="8"/>
      <c r="N141" s="8"/>
    </row>
    <row r="142" spans="1:16" x14ac:dyDescent="0.25">
      <c r="A142" t="s">
        <v>19</v>
      </c>
      <c r="B142" t="str">
        <f t="shared" ref="B142" si="89">IF(G101="","Skjul","show")</f>
        <v>show</v>
      </c>
    </row>
    <row r="143" spans="1:16" ht="18.75" customHeight="1" x14ac:dyDescent="0.25">
      <c r="A143" t="s">
        <v>19</v>
      </c>
      <c r="B143" t="str">
        <f t="shared" ref="B143" si="90">IF(G144="","Skjul","show")</f>
        <v>show</v>
      </c>
      <c r="C143" t="str">
        <f t="shared" ref="C143" si="91">E143</f>
        <v>564</v>
      </c>
      <c r="D143" t="str">
        <f>"""NAV"",""Helsam - Drift"",""23"",""1"",""564"""</f>
        <v>"NAV","Helsam - Drift","23","1","564"</v>
      </c>
      <c r="E143" t="str">
        <f>"564"</f>
        <v>564</v>
      </c>
      <c r="G143" s="24" t="str">
        <f>"Unique Products ApS"</f>
        <v>Unique Products ApS</v>
      </c>
      <c r="I143" s="8"/>
      <c r="J143" s="9"/>
      <c r="K143" s="9"/>
      <c r="L143" s="10"/>
      <c r="M143" s="10"/>
      <c r="N143" s="11"/>
    </row>
    <row r="144" spans="1:16" ht="16.5" customHeight="1" x14ac:dyDescent="0.3">
      <c r="A144" t="s">
        <v>19</v>
      </c>
      <c r="B144" t="str">
        <f t="shared" ref="B144" si="92">IF(G144="","Skjul","show")</f>
        <v>show</v>
      </c>
      <c r="C144" t="str">
        <f t="shared" ref="C144" si="93">+C143</f>
        <v>564</v>
      </c>
      <c r="D144" s="4" t="str">
        <f>"""NAV"",""Helsam - Drift"",""27"",""1"",""50866"""</f>
        <v>"NAV","Helsam - Drift","27","1","50866"</v>
      </c>
      <c r="G144" s="17" t="str">
        <f>"50866"</f>
        <v>50866</v>
      </c>
      <c r="H144" s="23"/>
      <c r="I144" s="18" t="str">
        <f>"Appelsinolie  100% ren æterisk olie "</f>
        <v xml:space="preserve">Appelsinolie  100% ren æterisk olie </v>
      </c>
      <c r="J144" s="19" t="str">
        <f t="shared" ref="J144:J152" si="94">"30 ml"</f>
        <v>30 ml</v>
      </c>
      <c r="K144" s="19">
        <v>10</v>
      </c>
      <c r="L144" s="20">
        <v>42.4</v>
      </c>
      <c r="M144" s="20">
        <v>84.95</v>
      </c>
      <c r="N144" s="21">
        <v>31.8</v>
      </c>
      <c r="O144" s="22">
        <f t="shared" ref="O144" si="95">IFERROR((L144-N144),"")</f>
        <v>10.599999999999998</v>
      </c>
      <c r="P144" s="27">
        <f t="shared" ref="P144:P152" si="96">O144/L144</f>
        <v>0.24999999999999994</v>
      </c>
    </row>
    <row r="145" spans="1:16" ht="16.5" customHeight="1" x14ac:dyDescent="0.3">
      <c r="A145" t="s">
        <v>19</v>
      </c>
      <c r="B145" t="str">
        <f t="shared" ref="B145:B152" si="97">IF(G145="","Skjul","show")</f>
        <v>show</v>
      </c>
      <c r="C145" t="str">
        <f t="shared" ref="C145:C152" si="98">+C144</f>
        <v>564</v>
      </c>
      <c r="D145" s="4" t="str">
        <f>"""NAV"",""Helsam - Drift"",""27"",""1"",""50865"""</f>
        <v>"NAV","Helsam - Drift","27","1","50865"</v>
      </c>
      <c r="G145" s="17" t="str">
        <f>"50865"</f>
        <v>50865</v>
      </c>
      <c r="H145" s="23"/>
      <c r="I145" s="18" t="str">
        <f>"Appelsinolie Ø 100% ren æterisk olie "</f>
        <v xml:space="preserve">Appelsinolie Ø 100% ren æterisk olie </v>
      </c>
      <c r="J145" s="19" t="str">
        <f t="shared" si="94"/>
        <v>30 ml</v>
      </c>
      <c r="K145" s="19">
        <v>10</v>
      </c>
      <c r="L145" s="20">
        <v>47.59</v>
      </c>
      <c r="M145" s="20">
        <v>99.949999999999989</v>
      </c>
      <c r="N145" s="21">
        <v>35.69</v>
      </c>
      <c r="O145" s="22">
        <f t="shared" ref="O145:O152" si="99">IFERROR((L145-N145),"")</f>
        <v>11.900000000000006</v>
      </c>
      <c r="P145" s="27">
        <f t="shared" si="96"/>
        <v>0.25005253204454725</v>
      </c>
    </row>
    <row r="146" spans="1:16" ht="16.5" customHeight="1" x14ac:dyDescent="0.3">
      <c r="A146" t="s">
        <v>19</v>
      </c>
      <c r="B146" t="str">
        <f t="shared" si="97"/>
        <v>show</v>
      </c>
      <c r="C146" t="str">
        <f t="shared" si="98"/>
        <v>564</v>
      </c>
      <c r="D146" s="4" t="str">
        <f>"""NAV"",""Helsam - Drift"",""27"",""1"",""50868"""</f>
        <v>"NAV","Helsam - Drift","27","1","50868"</v>
      </c>
      <c r="G146" s="17" t="str">
        <f>"50868"</f>
        <v>50868</v>
      </c>
      <c r="H146" s="23"/>
      <c r="I146" s="18" t="str">
        <f>"Cedertræ Ø 100% ren æterisk olie "</f>
        <v xml:space="preserve">Cedertræ Ø 100% ren æterisk olie </v>
      </c>
      <c r="J146" s="19" t="str">
        <f t="shared" si="94"/>
        <v>30 ml</v>
      </c>
      <c r="K146" s="19">
        <v>10</v>
      </c>
      <c r="L146" s="20">
        <v>47.59</v>
      </c>
      <c r="M146" s="20">
        <v>99.949999999999989</v>
      </c>
      <c r="N146" s="21">
        <v>35.69</v>
      </c>
      <c r="O146" s="22">
        <f t="shared" si="99"/>
        <v>11.900000000000006</v>
      </c>
      <c r="P146" s="27">
        <f t="shared" si="96"/>
        <v>0.25005253204454725</v>
      </c>
    </row>
    <row r="147" spans="1:16" ht="16.5" customHeight="1" x14ac:dyDescent="0.3">
      <c r="A147" t="s">
        <v>19</v>
      </c>
      <c r="B147" t="str">
        <f t="shared" si="97"/>
        <v>show</v>
      </c>
      <c r="C147" t="str">
        <f t="shared" si="98"/>
        <v>564</v>
      </c>
      <c r="D147" s="4" t="str">
        <f>"""NAV"",""Helsam - Drift"",""27"",""1"",""50869"""</f>
        <v>"NAV","Helsam - Drift","27","1","50869"</v>
      </c>
      <c r="G147" s="17" t="str">
        <f>"50869"</f>
        <v>50869</v>
      </c>
      <c r="H147" s="23"/>
      <c r="I147" s="18" t="str">
        <f>"Cedertræsolie 100% ren æterisk olie "</f>
        <v xml:space="preserve">Cedertræsolie 100% ren æterisk olie </v>
      </c>
      <c r="J147" s="19" t="str">
        <f t="shared" si="94"/>
        <v>30 ml</v>
      </c>
      <c r="K147" s="19">
        <v>10</v>
      </c>
      <c r="L147" s="20">
        <v>49.900000000000006</v>
      </c>
      <c r="M147" s="20">
        <v>99.949999999999989</v>
      </c>
      <c r="N147" s="21">
        <v>37.43</v>
      </c>
      <c r="O147" s="22">
        <f t="shared" si="99"/>
        <v>12.470000000000006</v>
      </c>
      <c r="P147" s="27">
        <f t="shared" si="96"/>
        <v>0.24989979959919847</v>
      </c>
    </row>
    <row r="148" spans="1:16" ht="16.5" customHeight="1" x14ac:dyDescent="0.3">
      <c r="A148" t="s">
        <v>19</v>
      </c>
      <c r="B148" t="str">
        <f t="shared" si="97"/>
        <v>show</v>
      </c>
      <c r="C148" t="str">
        <f t="shared" si="98"/>
        <v>564</v>
      </c>
      <c r="D148" s="4" t="str">
        <f>"""NAV"",""Helsam - Drift"",""27"",""1"",""50871"""</f>
        <v>"NAV","Helsam - Drift","27","1","50871"</v>
      </c>
      <c r="G148" s="17" t="str">
        <f>"50871"</f>
        <v>50871</v>
      </c>
      <c r="H148" s="23"/>
      <c r="I148" s="18" t="str">
        <f>"Jasmin olie naturidentisk duftolie "</f>
        <v xml:space="preserve">Jasmin olie naturidentisk duftolie </v>
      </c>
      <c r="J148" s="19" t="str">
        <f t="shared" si="94"/>
        <v>30 ml</v>
      </c>
      <c r="K148" s="19">
        <v>10</v>
      </c>
      <c r="L148" s="20">
        <v>41.5</v>
      </c>
      <c r="M148" s="20">
        <v>82.95</v>
      </c>
      <c r="N148" s="21">
        <v>31.13</v>
      </c>
      <c r="O148" s="22">
        <f t="shared" si="99"/>
        <v>10.370000000000001</v>
      </c>
      <c r="P148" s="27">
        <f t="shared" si="96"/>
        <v>0.24987951807228917</v>
      </c>
    </row>
    <row r="149" spans="1:16" ht="16.5" customHeight="1" x14ac:dyDescent="0.3">
      <c r="A149" t="s">
        <v>19</v>
      </c>
      <c r="B149" t="str">
        <f t="shared" si="97"/>
        <v>show</v>
      </c>
      <c r="C149" t="str">
        <f t="shared" si="98"/>
        <v>564</v>
      </c>
      <c r="D149" s="4" t="str">
        <f>"""NAV"",""Helsam - Drift"",""27"",""1"",""50863"""</f>
        <v>"NAV","Helsam - Drift","27","1","50863"</v>
      </c>
      <c r="G149" s="17" t="str">
        <f>"50863"</f>
        <v>50863</v>
      </c>
      <c r="H149" s="23"/>
      <c r="I149" s="18" t="str">
        <f>"Kamferolie 100% ren æterisk olie "</f>
        <v xml:space="preserve">Kamferolie 100% ren æterisk olie </v>
      </c>
      <c r="J149" s="19" t="str">
        <f t="shared" si="94"/>
        <v>30 ml</v>
      </c>
      <c r="K149" s="19">
        <v>10</v>
      </c>
      <c r="L149" s="20">
        <v>42.5</v>
      </c>
      <c r="M149" s="20">
        <v>84.95</v>
      </c>
      <c r="N149" s="21">
        <v>31.88</v>
      </c>
      <c r="O149" s="22">
        <f t="shared" si="99"/>
        <v>10.620000000000001</v>
      </c>
      <c r="P149" s="27">
        <f t="shared" si="96"/>
        <v>0.2498823529411765</v>
      </c>
    </row>
    <row r="150" spans="1:16" ht="16.5" customHeight="1" x14ac:dyDescent="0.3">
      <c r="A150" t="s">
        <v>19</v>
      </c>
      <c r="B150" t="str">
        <f t="shared" si="97"/>
        <v>show</v>
      </c>
      <c r="C150" t="str">
        <f t="shared" si="98"/>
        <v>564</v>
      </c>
      <c r="D150" s="4" t="str">
        <f>"""NAV"",""Helsam - Drift"",""27"",""1"",""50867"""</f>
        <v>"NAV","Helsam - Drift","27","1","50867"</v>
      </c>
      <c r="G150" s="17" t="str">
        <f>"50867"</f>
        <v>50867</v>
      </c>
      <c r="H150" s="23"/>
      <c r="I150" s="18" t="str">
        <f>"Lemongræsolie  100% ren æterisk olie "</f>
        <v xml:space="preserve">Lemongræsolie  100% ren æterisk olie </v>
      </c>
      <c r="J150" s="19" t="str">
        <f t="shared" si="94"/>
        <v>30 ml</v>
      </c>
      <c r="K150" s="19">
        <v>10</v>
      </c>
      <c r="L150" s="20">
        <v>47.500000000000007</v>
      </c>
      <c r="M150" s="20">
        <v>94.95</v>
      </c>
      <c r="N150" s="21">
        <v>35.630000000000003</v>
      </c>
      <c r="O150" s="22">
        <f t="shared" si="99"/>
        <v>11.870000000000005</v>
      </c>
      <c r="P150" s="27">
        <f t="shared" si="96"/>
        <v>0.24989473684210531</v>
      </c>
    </row>
    <row r="151" spans="1:16" ht="16.5" customHeight="1" x14ac:dyDescent="0.3">
      <c r="A151" t="s">
        <v>19</v>
      </c>
      <c r="B151" t="str">
        <f t="shared" si="97"/>
        <v>show</v>
      </c>
      <c r="C151" t="str">
        <f t="shared" si="98"/>
        <v>564</v>
      </c>
      <c r="D151" s="4" t="str">
        <f>"""NAV"",""Helsam - Drift"",""27"",""1"",""50864"""</f>
        <v>"NAV","Helsam - Drift","27","1","50864"</v>
      </c>
      <c r="G151" s="17" t="str">
        <f>"50864"</f>
        <v>50864</v>
      </c>
      <c r="H151" s="23"/>
      <c r="I151" s="18" t="str">
        <f>"Patchouliolie 100% ren æterisk olie "</f>
        <v xml:space="preserve">Patchouliolie 100% ren æterisk olie </v>
      </c>
      <c r="J151" s="19" t="str">
        <f t="shared" si="94"/>
        <v>30 ml</v>
      </c>
      <c r="K151" s="19">
        <v>10</v>
      </c>
      <c r="L151" s="20">
        <v>64.97999999999999</v>
      </c>
      <c r="M151" s="20">
        <v>129.94999999999999</v>
      </c>
      <c r="N151" s="21">
        <v>48.739999999999995</v>
      </c>
      <c r="O151" s="22">
        <f t="shared" si="99"/>
        <v>16.239999999999995</v>
      </c>
      <c r="P151" s="27">
        <f t="shared" si="96"/>
        <v>0.24992305324715294</v>
      </c>
    </row>
    <row r="152" spans="1:16" ht="16.5" customHeight="1" x14ac:dyDescent="0.3">
      <c r="A152" t="s">
        <v>19</v>
      </c>
      <c r="B152" t="str">
        <f t="shared" si="97"/>
        <v>show</v>
      </c>
      <c r="C152" t="str">
        <f t="shared" si="98"/>
        <v>564</v>
      </c>
      <c r="D152" s="4" t="str">
        <f>"""NAV"",""Helsam - Drift"",""27"",""1"",""50870"""</f>
        <v>"NAV","Helsam - Drift","27","1","50870"</v>
      </c>
      <c r="G152" s="17" t="str">
        <f>"50870"</f>
        <v>50870</v>
      </c>
      <c r="H152" s="23"/>
      <c r="I152" s="18" t="str">
        <f>"Sandeltræ 100% ren æterisk olie "</f>
        <v xml:space="preserve">Sandeltræ 100% ren æterisk olie </v>
      </c>
      <c r="J152" s="19" t="str">
        <f t="shared" si="94"/>
        <v>30 ml</v>
      </c>
      <c r="K152" s="19">
        <v>10</v>
      </c>
      <c r="L152" s="20">
        <v>67.489999999999995</v>
      </c>
      <c r="M152" s="20">
        <v>142.94999999999999</v>
      </c>
      <c r="N152" s="21">
        <v>50.620000000000005</v>
      </c>
      <c r="O152" s="22">
        <f t="shared" si="99"/>
        <v>16.86999999999999</v>
      </c>
      <c r="P152" s="27">
        <f t="shared" si="96"/>
        <v>0.24996295747518138</v>
      </c>
    </row>
    <row r="153" spans="1:16" ht="13.5" customHeight="1" x14ac:dyDescent="0.25">
      <c r="A153" t="s">
        <v>19</v>
      </c>
      <c r="B153" t="str">
        <f>IF(G144="","Skjul","show")</f>
        <v>show</v>
      </c>
      <c r="D153" s="4"/>
      <c r="G153" s="8"/>
      <c r="H153" s="8"/>
      <c r="I153" s="8"/>
      <c r="J153" s="8"/>
      <c r="K153" s="8"/>
      <c r="L153" s="8"/>
      <c r="M153" s="8"/>
      <c r="N153" s="8"/>
    </row>
    <row r="154" spans="1:16" x14ac:dyDescent="0.25">
      <c r="A154" t="s">
        <v>19</v>
      </c>
      <c r="B154" t="str">
        <f t="shared" ref="B154" si="100">IF(G144="","Skjul","show")</f>
        <v>show</v>
      </c>
    </row>
    <row r="161" spans="4:17" x14ac:dyDescent="0.25">
      <c r="D161" s="4"/>
    </row>
    <row r="162" spans="4:17" x14ac:dyDescent="0.25">
      <c r="D162" s="4"/>
    </row>
    <row r="163" spans="4:17" x14ac:dyDescent="0.25">
      <c r="P163" s="12"/>
    </row>
    <row r="164" spans="4:17" x14ac:dyDescent="0.25">
      <c r="Q164" s="12"/>
    </row>
  </sheetData>
  <sortState ref="G25:O25">
    <sortCondition ref="G25"/>
  </sortState>
  <mergeCells count="2">
    <mergeCell ref="G13:O13"/>
    <mergeCell ref="H18:I18"/>
  </mergeCells>
  <pageMargins left="0.19685039370078741" right="0.31496062992125984" top="0.74803149606299213" bottom="0.74803149606299213" header="0.31496062992125984" footer="0.31496062992125984"/>
  <pageSetup paperSize="9"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B2" workbookViewId="0">
      <selection activeCell="E5" sqref="E5"/>
    </sheetView>
  </sheetViews>
  <sheetFormatPr defaultRowHeight="15" x14ac:dyDescent="0.25"/>
  <cols>
    <col min="1" max="1" width="9.140625" hidden="1" customWidth="1"/>
  </cols>
  <sheetData>
    <row r="1" spans="1:6" hidden="1" x14ac:dyDescent="0.25">
      <c r="A1" t="s">
        <v>478</v>
      </c>
    </row>
    <row r="5" spans="1:6" x14ac:dyDescent="0.25">
      <c r="E5" t="e">
        <f>VLOOKUP(MID('Alle lev'!D3,4,3),E7:F18,2,FALSE)</f>
        <v>#N/A</v>
      </c>
      <c r="F5">
        <f>YEAR('Alle lev'!D4)</f>
        <v>2022</v>
      </c>
    </row>
    <row r="7" spans="1:6" x14ac:dyDescent="0.25">
      <c r="E7" t="s">
        <v>479</v>
      </c>
      <c r="F7" t="s">
        <v>491</v>
      </c>
    </row>
    <row r="8" spans="1:6" x14ac:dyDescent="0.25">
      <c r="E8" t="s">
        <v>480</v>
      </c>
      <c r="F8" t="s">
        <v>492</v>
      </c>
    </row>
    <row r="9" spans="1:6" x14ac:dyDescent="0.25">
      <c r="E9" t="s">
        <v>481</v>
      </c>
      <c r="F9" t="s">
        <v>493</v>
      </c>
    </row>
    <row r="10" spans="1:6" x14ac:dyDescent="0.25">
      <c r="E10" t="s">
        <v>482</v>
      </c>
      <c r="F10" t="s">
        <v>494</v>
      </c>
    </row>
    <row r="11" spans="1:6" x14ac:dyDescent="0.25">
      <c r="E11" t="s">
        <v>483</v>
      </c>
      <c r="F11" t="s">
        <v>483</v>
      </c>
    </row>
    <row r="12" spans="1:6" x14ac:dyDescent="0.25">
      <c r="E12" t="s">
        <v>484</v>
      </c>
      <c r="F12" t="s">
        <v>495</v>
      </c>
    </row>
    <row r="13" spans="1:6" x14ac:dyDescent="0.25">
      <c r="E13" t="s">
        <v>485</v>
      </c>
      <c r="F13" t="s">
        <v>496</v>
      </c>
    </row>
    <row r="14" spans="1:6" x14ac:dyDescent="0.25">
      <c r="E14" t="s">
        <v>486</v>
      </c>
      <c r="F14" t="s">
        <v>497</v>
      </c>
    </row>
    <row r="15" spans="1:6" x14ac:dyDescent="0.25">
      <c r="E15" t="s">
        <v>487</v>
      </c>
      <c r="F15" t="s">
        <v>498</v>
      </c>
    </row>
    <row r="16" spans="1:6" x14ac:dyDescent="0.25">
      <c r="E16" t="s">
        <v>488</v>
      </c>
      <c r="F16" t="s">
        <v>499</v>
      </c>
    </row>
    <row r="17" spans="5:6" x14ac:dyDescent="0.25">
      <c r="E17" t="s">
        <v>489</v>
      </c>
      <c r="F17" t="s">
        <v>500</v>
      </c>
    </row>
    <row r="18" spans="5:6" x14ac:dyDescent="0.25">
      <c r="E18" t="s">
        <v>490</v>
      </c>
      <c r="F18" t="s">
        <v>501</v>
      </c>
    </row>
  </sheetData>
  <phoneticPr fontId="1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/>
  </sheetViews>
  <sheetFormatPr defaultRowHeight="15" x14ac:dyDescent="0.25"/>
  <sheetData>
    <row r="1" spans="1:17" x14ac:dyDescent="0.25">
      <c r="A1" s="4" t="s">
        <v>465</v>
      </c>
      <c r="B1" s="4" t="s">
        <v>15</v>
      </c>
      <c r="C1" s="4" t="s">
        <v>6</v>
      </c>
      <c r="D1" s="4" t="s">
        <v>7</v>
      </c>
      <c r="E1" s="4" t="s">
        <v>8</v>
      </c>
      <c r="I1" s="4" t="s">
        <v>8</v>
      </c>
      <c r="J1" s="4" t="s">
        <v>8</v>
      </c>
    </row>
    <row r="2" spans="1:17" x14ac:dyDescent="0.25">
      <c r="A2" s="4" t="s">
        <v>8</v>
      </c>
      <c r="C2" s="4" t="s">
        <v>206</v>
      </c>
    </row>
    <row r="3" spans="1:17" x14ac:dyDescent="0.25">
      <c r="A3" s="4" t="s">
        <v>9</v>
      </c>
      <c r="C3" s="4" t="s">
        <v>14</v>
      </c>
      <c r="D3" s="4" t="s">
        <v>24</v>
      </c>
    </row>
    <row r="4" spans="1:17" x14ac:dyDescent="0.25">
      <c r="A4" s="4" t="s">
        <v>9</v>
      </c>
      <c r="C4" s="4" t="s">
        <v>62</v>
      </c>
      <c r="D4" s="4" t="s">
        <v>205</v>
      </c>
    </row>
    <row r="5" spans="1:17" x14ac:dyDescent="0.25">
      <c r="A5" s="4" t="s">
        <v>9</v>
      </c>
      <c r="D5" s="4" t="s">
        <v>16</v>
      </c>
    </row>
    <row r="6" spans="1:17" x14ac:dyDescent="0.25">
      <c r="A6" s="4" t="s">
        <v>9</v>
      </c>
      <c r="C6" s="4" t="s">
        <v>10</v>
      </c>
      <c r="D6" s="4" t="s">
        <v>241</v>
      </c>
    </row>
    <row r="7" spans="1:17" x14ac:dyDescent="0.25">
      <c r="A7" s="4" t="s">
        <v>8</v>
      </c>
      <c r="C7" s="4" t="s">
        <v>13</v>
      </c>
      <c r="D7" s="4" t="s">
        <v>242</v>
      </c>
    </row>
    <row r="8" spans="1:17" x14ac:dyDescent="0.25">
      <c r="C8" s="4" t="s">
        <v>11</v>
      </c>
      <c r="D8" s="4" t="s">
        <v>17</v>
      </c>
    </row>
    <row r="9" spans="1:17" x14ac:dyDescent="0.25">
      <c r="C9" s="4" t="s">
        <v>12</v>
      </c>
      <c r="D9" s="4" t="s">
        <v>243</v>
      </c>
    </row>
    <row r="12" spans="1:17" x14ac:dyDescent="0.25">
      <c r="F12" s="4" t="s">
        <v>61</v>
      </c>
    </row>
    <row r="13" spans="1:17" x14ac:dyDescent="0.25">
      <c r="G13" s="4" t="s">
        <v>207</v>
      </c>
    </row>
    <row r="16" spans="1:17" x14ac:dyDescent="0.25">
      <c r="P16" s="4" t="s">
        <v>12</v>
      </c>
      <c r="Q16" s="4" t="s">
        <v>12</v>
      </c>
    </row>
    <row r="17" spans="3:19" x14ac:dyDescent="0.25">
      <c r="G17" s="4" t="s">
        <v>0</v>
      </c>
      <c r="I17" s="4" t="s">
        <v>1</v>
      </c>
      <c r="K17" s="4" t="s">
        <v>269</v>
      </c>
      <c r="L17" s="4" t="s">
        <v>2</v>
      </c>
      <c r="M17" s="4" t="s">
        <v>3</v>
      </c>
      <c r="N17" s="4" t="s">
        <v>5</v>
      </c>
      <c r="O17" s="4" t="s">
        <v>4</v>
      </c>
      <c r="P17" s="4" t="s">
        <v>5</v>
      </c>
      <c r="Q17" s="4" t="s">
        <v>4</v>
      </c>
      <c r="R17" s="4" t="s">
        <v>239</v>
      </c>
      <c r="S17" s="4" t="s">
        <v>240</v>
      </c>
    </row>
    <row r="19" spans="3:19" x14ac:dyDescent="0.25">
      <c r="C19" s="4" t="s">
        <v>272</v>
      </c>
      <c r="G19" s="4" t="s">
        <v>244</v>
      </c>
    </row>
    <row r="20" spans="3:19" x14ac:dyDescent="0.25">
      <c r="D20" s="4" t="s">
        <v>65</v>
      </c>
      <c r="G20" s="4" t="s">
        <v>245</v>
      </c>
      <c r="H20" s="4" t="s">
        <v>246</v>
      </c>
      <c r="I20" s="4" t="s">
        <v>247</v>
      </c>
      <c r="J20" s="4" t="s">
        <v>248</v>
      </c>
      <c r="K20" s="4" t="s">
        <v>273</v>
      </c>
      <c r="L20" s="4" t="s">
        <v>249</v>
      </c>
      <c r="M20" s="4" t="s">
        <v>250</v>
      </c>
      <c r="N20" s="4" t="s">
        <v>251</v>
      </c>
      <c r="O20" s="4" t="s">
        <v>252</v>
      </c>
      <c r="P20" s="4" t="s">
        <v>253</v>
      </c>
      <c r="Q20" s="4" t="s">
        <v>274</v>
      </c>
      <c r="R20" s="4" t="s">
        <v>275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/>
  </sheetViews>
  <sheetFormatPr defaultRowHeight="15" x14ac:dyDescent="0.25"/>
  <sheetData>
    <row r="1" spans="1:17" x14ac:dyDescent="0.25">
      <c r="A1" s="4" t="s">
        <v>465</v>
      </c>
      <c r="B1" s="4" t="s">
        <v>15</v>
      </c>
      <c r="C1" s="4" t="s">
        <v>6</v>
      </c>
      <c r="D1" s="4" t="s">
        <v>7</v>
      </c>
      <c r="E1" s="4" t="s">
        <v>8</v>
      </c>
      <c r="I1" s="4" t="s">
        <v>8</v>
      </c>
      <c r="J1" s="4" t="s">
        <v>8</v>
      </c>
    </row>
    <row r="2" spans="1:17" x14ac:dyDescent="0.25">
      <c r="A2" s="4" t="s">
        <v>8</v>
      </c>
      <c r="C2" s="4" t="s">
        <v>206</v>
      </c>
    </row>
    <row r="3" spans="1:17" x14ac:dyDescent="0.25">
      <c r="A3" s="4" t="s">
        <v>9</v>
      </c>
      <c r="C3" s="4" t="s">
        <v>14</v>
      </c>
      <c r="D3" s="4" t="s">
        <v>24</v>
      </c>
    </row>
    <row r="4" spans="1:17" x14ac:dyDescent="0.25">
      <c r="A4" s="4" t="s">
        <v>9</v>
      </c>
      <c r="C4" s="4" t="s">
        <v>62</v>
      </c>
      <c r="D4" s="4" t="s">
        <v>205</v>
      </c>
    </row>
    <row r="5" spans="1:17" x14ac:dyDescent="0.25">
      <c r="A5" s="4" t="s">
        <v>9</v>
      </c>
      <c r="D5" s="4" t="s">
        <v>16</v>
      </c>
    </row>
    <row r="6" spans="1:17" x14ac:dyDescent="0.25">
      <c r="A6" s="4" t="s">
        <v>9</v>
      </c>
      <c r="C6" s="4" t="s">
        <v>10</v>
      </c>
      <c r="D6" s="4" t="s">
        <v>241</v>
      </c>
    </row>
    <row r="7" spans="1:17" x14ac:dyDescent="0.25">
      <c r="A7" s="4" t="s">
        <v>8</v>
      </c>
      <c r="C7" s="4" t="s">
        <v>13</v>
      </c>
      <c r="D7" s="4" t="s">
        <v>258</v>
      </c>
    </row>
    <row r="8" spans="1:17" x14ac:dyDescent="0.25">
      <c r="C8" s="4" t="s">
        <v>11</v>
      </c>
      <c r="D8" s="4" t="s">
        <v>18</v>
      </c>
    </row>
    <row r="9" spans="1:17" x14ac:dyDescent="0.25">
      <c r="C9" s="4" t="s">
        <v>12</v>
      </c>
      <c r="D9" s="4" t="s">
        <v>259</v>
      </c>
    </row>
    <row r="12" spans="1:17" x14ac:dyDescent="0.25">
      <c r="F12" s="4" t="s">
        <v>61</v>
      </c>
    </row>
    <row r="13" spans="1:17" x14ac:dyDescent="0.25">
      <c r="G13" s="4" t="s">
        <v>207</v>
      </c>
    </row>
    <row r="16" spans="1:17" x14ac:dyDescent="0.25">
      <c r="P16" s="4" t="s">
        <v>12</v>
      </c>
      <c r="Q16" s="4" t="s">
        <v>12</v>
      </c>
    </row>
    <row r="17" spans="3:19" x14ac:dyDescent="0.25">
      <c r="G17" s="4" t="s">
        <v>0</v>
      </c>
      <c r="I17" s="4" t="s">
        <v>1</v>
      </c>
      <c r="K17" s="4" t="s">
        <v>269</v>
      </c>
      <c r="L17" s="4" t="s">
        <v>2</v>
      </c>
      <c r="M17" s="4" t="s">
        <v>3</v>
      </c>
      <c r="N17" s="4" t="s">
        <v>5</v>
      </c>
      <c r="O17" s="4" t="s">
        <v>4</v>
      </c>
      <c r="P17" s="4" t="s">
        <v>5</v>
      </c>
      <c r="Q17" s="4" t="s">
        <v>4</v>
      </c>
      <c r="R17" s="4" t="s">
        <v>239</v>
      </c>
      <c r="S17" s="4" t="s">
        <v>240</v>
      </c>
    </row>
    <row r="19" spans="3:19" x14ac:dyDescent="0.25">
      <c r="C19" s="4" t="s">
        <v>276</v>
      </c>
      <c r="G19" s="4" t="s">
        <v>260</v>
      </c>
    </row>
    <row r="20" spans="3:19" x14ac:dyDescent="0.25">
      <c r="D20" s="4" t="s">
        <v>72</v>
      </c>
      <c r="G20" s="4" t="s">
        <v>261</v>
      </c>
      <c r="H20" s="4" t="s">
        <v>246</v>
      </c>
      <c r="I20" s="4" t="s">
        <v>262</v>
      </c>
      <c r="J20" s="4" t="s">
        <v>263</v>
      </c>
      <c r="K20" s="4" t="s">
        <v>277</v>
      </c>
      <c r="L20" s="4" t="s">
        <v>264</v>
      </c>
      <c r="M20" s="4" t="s">
        <v>265</v>
      </c>
      <c r="N20" s="4" t="s">
        <v>266</v>
      </c>
      <c r="O20" s="4" t="s">
        <v>267</v>
      </c>
      <c r="P20" s="4" t="s">
        <v>268</v>
      </c>
      <c r="Q20" s="4" t="s">
        <v>278</v>
      </c>
      <c r="R20" s="4" t="s">
        <v>275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workbookViewId="0"/>
  </sheetViews>
  <sheetFormatPr defaultRowHeight="15" x14ac:dyDescent="0.25"/>
  <sheetData>
    <row r="1" spans="1:17" x14ac:dyDescent="0.25">
      <c r="A1" s="4" t="s">
        <v>466</v>
      </c>
      <c r="B1" s="4" t="s">
        <v>15</v>
      </c>
      <c r="C1" s="4" t="s">
        <v>6</v>
      </c>
      <c r="D1" s="4" t="s">
        <v>7</v>
      </c>
      <c r="E1" s="4" t="s">
        <v>8</v>
      </c>
      <c r="I1" s="4" t="s">
        <v>8</v>
      </c>
      <c r="J1" s="4" t="s">
        <v>8</v>
      </c>
    </row>
    <row r="2" spans="1:17" x14ac:dyDescent="0.25">
      <c r="A2" s="4" t="s">
        <v>8</v>
      </c>
      <c r="C2" s="4" t="s">
        <v>206</v>
      </c>
    </row>
    <row r="3" spans="1:17" x14ac:dyDescent="0.25">
      <c r="A3" s="4" t="s">
        <v>9</v>
      </c>
      <c r="C3" s="4" t="s">
        <v>14</v>
      </c>
      <c r="D3" s="4" t="s">
        <v>24</v>
      </c>
    </row>
    <row r="4" spans="1:17" x14ac:dyDescent="0.25">
      <c r="A4" s="4" t="s">
        <v>9</v>
      </c>
      <c r="C4" s="4" t="s">
        <v>62</v>
      </c>
      <c r="D4" s="4" t="s">
        <v>205</v>
      </c>
    </row>
    <row r="5" spans="1:17" x14ac:dyDescent="0.25">
      <c r="A5" s="4" t="s">
        <v>9</v>
      </c>
      <c r="D5" s="4" t="s">
        <v>16</v>
      </c>
    </row>
    <row r="6" spans="1:17" x14ac:dyDescent="0.25">
      <c r="A6" s="4" t="s">
        <v>9</v>
      </c>
      <c r="C6" s="4" t="s">
        <v>10</v>
      </c>
      <c r="D6" s="4" t="s">
        <v>241</v>
      </c>
    </row>
    <row r="7" spans="1:17" x14ac:dyDescent="0.25">
      <c r="A7" s="4" t="s">
        <v>8</v>
      </c>
      <c r="C7" s="4" t="s">
        <v>13</v>
      </c>
      <c r="D7" s="4" t="s">
        <v>242</v>
      </c>
    </row>
    <row r="8" spans="1:17" x14ac:dyDescent="0.25">
      <c r="C8" s="4" t="s">
        <v>11</v>
      </c>
      <c r="D8" s="4" t="s">
        <v>17</v>
      </c>
    </row>
    <row r="9" spans="1:17" x14ac:dyDescent="0.25">
      <c r="C9" s="4" t="s">
        <v>12</v>
      </c>
      <c r="D9" s="4" t="s">
        <v>243</v>
      </c>
    </row>
    <row r="12" spans="1:17" x14ac:dyDescent="0.25">
      <c r="F12" s="4" t="s">
        <v>61</v>
      </c>
    </row>
    <row r="13" spans="1:17" x14ac:dyDescent="0.25">
      <c r="G13" s="4" t="s">
        <v>207</v>
      </c>
    </row>
    <row r="16" spans="1:17" x14ac:dyDescent="0.25">
      <c r="P16" s="4" t="s">
        <v>12</v>
      </c>
      <c r="Q16" s="4" t="s">
        <v>12</v>
      </c>
    </row>
    <row r="17" spans="1:19" x14ac:dyDescent="0.25">
      <c r="G17" s="4" t="s">
        <v>0</v>
      </c>
      <c r="I17" s="4" t="s">
        <v>1</v>
      </c>
      <c r="K17" s="4" t="s">
        <v>269</v>
      </c>
      <c r="L17" s="4" t="s">
        <v>2</v>
      </c>
      <c r="M17" s="4" t="s">
        <v>3</v>
      </c>
      <c r="N17" s="4" t="s">
        <v>5</v>
      </c>
      <c r="O17" s="4" t="s">
        <v>4</v>
      </c>
      <c r="P17" s="4" t="s">
        <v>5</v>
      </c>
      <c r="Q17" s="4" t="s">
        <v>4</v>
      </c>
      <c r="R17" s="4" t="s">
        <v>239</v>
      </c>
      <c r="S17" s="4" t="s">
        <v>240</v>
      </c>
    </row>
    <row r="19" spans="1:19" x14ac:dyDescent="0.25">
      <c r="C19" s="4" t="s">
        <v>272</v>
      </c>
      <c r="G19" s="4" t="s">
        <v>244</v>
      </c>
    </row>
    <row r="20" spans="1:19" x14ac:dyDescent="0.25">
      <c r="D20" s="4" t="s">
        <v>65</v>
      </c>
      <c r="G20" s="4" t="s">
        <v>245</v>
      </c>
      <c r="H20" s="4" t="s">
        <v>246</v>
      </c>
      <c r="I20" s="4" t="s">
        <v>247</v>
      </c>
      <c r="J20" s="4" t="s">
        <v>248</v>
      </c>
      <c r="K20" s="4" t="s">
        <v>273</v>
      </c>
      <c r="L20" s="4" t="s">
        <v>249</v>
      </c>
      <c r="M20" s="4" t="s">
        <v>250</v>
      </c>
      <c r="N20" s="4" t="s">
        <v>251</v>
      </c>
      <c r="O20" s="4" t="s">
        <v>252</v>
      </c>
      <c r="P20" s="4" t="s">
        <v>253</v>
      </c>
      <c r="Q20" s="4" t="s">
        <v>274</v>
      </c>
      <c r="R20" s="4" t="s">
        <v>275</v>
      </c>
    </row>
    <row r="21" spans="1:19" x14ac:dyDescent="0.25">
      <c r="A21" s="4" t="s">
        <v>19</v>
      </c>
      <c r="D21" s="4" t="s">
        <v>208</v>
      </c>
      <c r="G21" s="4" t="s">
        <v>279</v>
      </c>
      <c r="H21" s="4" t="s">
        <v>280</v>
      </c>
      <c r="I21" s="4" t="s">
        <v>281</v>
      </c>
      <c r="J21" s="4" t="s">
        <v>282</v>
      </c>
      <c r="K21" s="4" t="s">
        <v>283</v>
      </c>
      <c r="L21" s="4" t="s">
        <v>284</v>
      </c>
      <c r="M21" s="4" t="s">
        <v>285</v>
      </c>
      <c r="N21" s="4" t="s">
        <v>286</v>
      </c>
      <c r="O21" s="4" t="s">
        <v>287</v>
      </c>
      <c r="P21" s="4" t="s">
        <v>288</v>
      </c>
      <c r="Q21" s="4" t="s">
        <v>289</v>
      </c>
      <c r="R21" s="4" t="s">
        <v>290</v>
      </c>
    </row>
    <row r="22" spans="1:19" x14ac:dyDescent="0.25">
      <c r="A22" s="4" t="s">
        <v>19</v>
      </c>
      <c r="D22" s="4" t="s">
        <v>209</v>
      </c>
      <c r="G22" s="4" t="s">
        <v>33</v>
      </c>
      <c r="H22" s="4" t="s">
        <v>63</v>
      </c>
      <c r="I22" s="4" t="s">
        <v>34</v>
      </c>
      <c r="J22" s="4" t="s">
        <v>64</v>
      </c>
      <c r="K22" s="4" t="s">
        <v>291</v>
      </c>
      <c r="L22" s="4" t="s">
        <v>35</v>
      </c>
      <c r="M22" s="4" t="s">
        <v>36</v>
      </c>
      <c r="N22" s="4" t="s">
        <v>292</v>
      </c>
      <c r="O22" s="4" t="s">
        <v>293</v>
      </c>
      <c r="P22" s="4" t="s">
        <v>294</v>
      </c>
      <c r="Q22" s="4" t="s">
        <v>295</v>
      </c>
      <c r="R22" s="4" t="s">
        <v>296</v>
      </c>
    </row>
    <row r="23" spans="1:19" x14ac:dyDescent="0.25">
      <c r="A23" s="4" t="s">
        <v>19</v>
      </c>
      <c r="D23" s="4" t="s">
        <v>210</v>
      </c>
      <c r="G23" s="4" t="s">
        <v>66</v>
      </c>
      <c r="H23" s="4" t="s">
        <v>67</v>
      </c>
      <c r="I23" s="4" t="s">
        <v>68</v>
      </c>
      <c r="J23" s="4" t="s">
        <v>69</v>
      </c>
      <c r="K23" s="4" t="s">
        <v>270</v>
      </c>
      <c r="L23" s="4" t="s">
        <v>70</v>
      </c>
      <c r="M23" s="4" t="s">
        <v>71</v>
      </c>
      <c r="N23" s="4" t="s">
        <v>254</v>
      </c>
      <c r="O23" s="4" t="s">
        <v>255</v>
      </c>
      <c r="P23" s="4" t="s">
        <v>256</v>
      </c>
      <c r="Q23" s="4" t="s">
        <v>257</v>
      </c>
      <c r="R23" s="4" t="s">
        <v>271</v>
      </c>
    </row>
    <row r="24" spans="1:19" x14ac:dyDescent="0.25">
      <c r="A24" s="4" t="s">
        <v>19</v>
      </c>
      <c r="D24" s="4" t="s">
        <v>211</v>
      </c>
      <c r="G24" s="4" t="s">
        <v>73</v>
      </c>
      <c r="H24" s="4" t="s">
        <v>74</v>
      </c>
      <c r="I24" s="4" t="s">
        <v>75</v>
      </c>
      <c r="J24" s="4" t="s">
        <v>76</v>
      </c>
      <c r="K24" s="4" t="s">
        <v>297</v>
      </c>
      <c r="L24" s="4" t="s">
        <v>77</v>
      </c>
      <c r="M24" s="4" t="s">
        <v>78</v>
      </c>
      <c r="N24" s="4" t="s">
        <v>298</v>
      </c>
      <c r="O24" s="4" t="s">
        <v>299</v>
      </c>
      <c r="P24" s="4" t="s">
        <v>300</v>
      </c>
      <c r="Q24" s="4" t="s">
        <v>301</v>
      </c>
      <c r="R24" s="4" t="s">
        <v>302</v>
      </c>
    </row>
    <row r="25" spans="1:19" x14ac:dyDescent="0.25">
      <c r="A25" s="4" t="s">
        <v>19</v>
      </c>
      <c r="D25" s="4" t="s">
        <v>212</v>
      </c>
      <c r="G25" s="4" t="s">
        <v>79</v>
      </c>
      <c r="H25" s="4" t="s">
        <v>80</v>
      </c>
      <c r="I25" s="4" t="s">
        <v>81</v>
      </c>
      <c r="J25" s="4" t="s">
        <v>82</v>
      </c>
      <c r="K25" s="4" t="s">
        <v>303</v>
      </c>
      <c r="L25" s="4" t="s">
        <v>83</v>
      </c>
      <c r="M25" s="4" t="s">
        <v>84</v>
      </c>
      <c r="N25" s="4" t="s">
        <v>304</v>
      </c>
      <c r="O25" s="4" t="s">
        <v>305</v>
      </c>
      <c r="P25" s="4" t="s">
        <v>306</v>
      </c>
      <c r="Q25" s="4" t="s">
        <v>307</v>
      </c>
      <c r="R25" s="4" t="s">
        <v>308</v>
      </c>
    </row>
    <row r="26" spans="1:19" x14ac:dyDescent="0.25">
      <c r="A26" s="4" t="s">
        <v>19</v>
      </c>
      <c r="D26" s="4" t="s">
        <v>213</v>
      </c>
      <c r="G26" s="4" t="s">
        <v>37</v>
      </c>
      <c r="H26" s="4" t="s">
        <v>85</v>
      </c>
      <c r="I26" s="4" t="s">
        <v>38</v>
      </c>
      <c r="J26" s="4" t="s">
        <v>86</v>
      </c>
      <c r="K26" s="4" t="s">
        <v>309</v>
      </c>
      <c r="L26" s="4" t="s">
        <v>39</v>
      </c>
      <c r="M26" s="4" t="s">
        <v>40</v>
      </c>
      <c r="N26" s="4" t="s">
        <v>310</v>
      </c>
      <c r="O26" s="4" t="s">
        <v>311</v>
      </c>
      <c r="P26" s="4" t="s">
        <v>312</v>
      </c>
      <c r="Q26" s="4" t="s">
        <v>313</v>
      </c>
      <c r="R26" s="4" t="s">
        <v>314</v>
      </c>
    </row>
    <row r="27" spans="1:19" x14ac:dyDescent="0.25">
      <c r="A27" s="4" t="s">
        <v>19</v>
      </c>
      <c r="D27" s="4" t="s">
        <v>214</v>
      </c>
      <c r="G27" s="4" t="s">
        <v>87</v>
      </c>
      <c r="H27" s="4" t="s">
        <v>88</v>
      </c>
      <c r="I27" s="4" t="s">
        <v>89</v>
      </c>
      <c r="J27" s="4" t="s">
        <v>90</v>
      </c>
      <c r="K27" s="4" t="s">
        <v>315</v>
      </c>
      <c r="L27" s="4" t="s">
        <v>91</v>
      </c>
      <c r="M27" s="4" t="s">
        <v>92</v>
      </c>
      <c r="N27" s="4" t="s">
        <v>316</v>
      </c>
      <c r="O27" s="4" t="s">
        <v>317</v>
      </c>
      <c r="P27" s="4" t="s">
        <v>318</v>
      </c>
      <c r="Q27" s="4" t="s">
        <v>319</v>
      </c>
      <c r="R27" s="4" t="s">
        <v>320</v>
      </c>
    </row>
    <row r="28" spans="1:19" x14ac:dyDescent="0.25">
      <c r="A28" s="4" t="s">
        <v>19</v>
      </c>
      <c r="D28" s="4" t="s">
        <v>215</v>
      </c>
      <c r="G28" s="4" t="s">
        <v>93</v>
      </c>
      <c r="H28" s="4" t="s">
        <v>94</v>
      </c>
      <c r="I28" s="4" t="s">
        <v>95</v>
      </c>
      <c r="J28" s="4" t="s">
        <v>96</v>
      </c>
      <c r="K28" s="4" t="s">
        <v>321</v>
      </c>
      <c r="L28" s="4" t="s">
        <v>97</v>
      </c>
      <c r="M28" s="4" t="s">
        <v>98</v>
      </c>
      <c r="N28" s="4" t="s">
        <v>322</v>
      </c>
      <c r="O28" s="4" t="s">
        <v>323</v>
      </c>
      <c r="P28" s="4" t="s">
        <v>324</v>
      </c>
      <c r="Q28" s="4" t="s">
        <v>325</v>
      </c>
      <c r="R28" s="4" t="s">
        <v>326</v>
      </c>
    </row>
    <row r="29" spans="1:19" x14ac:dyDescent="0.25">
      <c r="A29" s="4" t="s">
        <v>19</v>
      </c>
      <c r="D29" s="4" t="s">
        <v>216</v>
      </c>
      <c r="G29" s="4" t="s">
        <v>99</v>
      </c>
      <c r="H29" s="4" t="s">
        <v>100</v>
      </c>
      <c r="I29" s="4" t="s">
        <v>101</v>
      </c>
      <c r="J29" s="4" t="s">
        <v>102</v>
      </c>
      <c r="K29" s="4" t="s">
        <v>327</v>
      </c>
      <c r="L29" s="4" t="s">
        <v>103</v>
      </c>
      <c r="M29" s="4" t="s">
        <v>104</v>
      </c>
      <c r="N29" s="4" t="s">
        <v>328</v>
      </c>
      <c r="O29" s="4" t="s">
        <v>329</v>
      </c>
      <c r="P29" s="4" t="s">
        <v>330</v>
      </c>
      <c r="Q29" s="4" t="s">
        <v>331</v>
      </c>
      <c r="R29" s="4" t="s">
        <v>332</v>
      </c>
    </row>
    <row r="30" spans="1:19" x14ac:dyDescent="0.25">
      <c r="A30" s="4" t="s">
        <v>19</v>
      </c>
      <c r="D30" s="4" t="s">
        <v>217</v>
      </c>
      <c r="G30" s="4" t="s">
        <v>41</v>
      </c>
      <c r="H30" s="4" t="s">
        <v>105</v>
      </c>
      <c r="I30" s="4" t="s">
        <v>42</v>
      </c>
      <c r="J30" s="4" t="s">
        <v>106</v>
      </c>
      <c r="K30" s="4" t="s">
        <v>333</v>
      </c>
      <c r="L30" s="4" t="s">
        <v>43</v>
      </c>
      <c r="M30" s="4" t="s">
        <v>44</v>
      </c>
      <c r="N30" s="4" t="s">
        <v>334</v>
      </c>
      <c r="O30" s="4" t="s">
        <v>335</v>
      </c>
      <c r="P30" s="4" t="s">
        <v>336</v>
      </c>
      <c r="Q30" s="4" t="s">
        <v>337</v>
      </c>
      <c r="R30" s="4" t="s">
        <v>338</v>
      </c>
    </row>
    <row r="31" spans="1:19" x14ac:dyDescent="0.25">
      <c r="A31" s="4" t="s">
        <v>19</v>
      </c>
      <c r="D31" s="4" t="s">
        <v>218</v>
      </c>
      <c r="G31" s="4" t="s">
        <v>107</v>
      </c>
      <c r="H31" s="4" t="s">
        <v>108</v>
      </c>
      <c r="I31" s="4" t="s">
        <v>109</v>
      </c>
      <c r="J31" s="4" t="s">
        <v>110</v>
      </c>
      <c r="K31" s="4" t="s">
        <v>339</v>
      </c>
      <c r="L31" s="4" t="s">
        <v>111</v>
      </c>
      <c r="M31" s="4" t="s">
        <v>112</v>
      </c>
      <c r="N31" s="4" t="s">
        <v>340</v>
      </c>
      <c r="O31" s="4" t="s">
        <v>341</v>
      </c>
      <c r="P31" s="4" t="s">
        <v>342</v>
      </c>
      <c r="Q31" s="4" t="s">
        <v>343</v>
      </c>
      <c r="R31" s="4" t="s">
        <v>344</v>
      </c>
    </row>
    <row r="32" spans="1:19" x14ac:dyDescent="0.25">
      <c r="A32" s="4" t="s">
        <v>19</v>
      </c>
      <c r="D32" s="4" t="s">
        <v>219</v>
      </c>
      <c r="G32" s="4" t="s">
        <v>113</v>
      </c>
      <c r="H32" s="4" t="s">
        <v>114</v>
      </c>
      <c r="I32" s="4" t="s">
        <v>115</v>
      </c>
      <c r="J32" s="4" t="s">
        <v>116</v>
      </c>
      <c r="K32" s="4" t="s">
        <v>345</v>
      </c>
      <c r="L32" s="4" t="s">
        <v>117</v>
      </c>
      <c r="M32" s="4" t="s">
        <v>118</v>
      </c>
      <c r="N32" s="4" t="s">
        <v>346</v>
      </c>
      <c r="O32" s="4" t="s">
        <v>347</v>
      </c>
      <c r="P32" s="4" t="s">
        <v>348</v>
      </c>
      <c r="Q32" s="4" t="s">
        <v>349</v>
      </c>
      <c r="R32" s="4" t="s">
        <v>350</v>
      </c>
    </row>
    <row r="33" spans="1:18" x14ac:dyDescent="0.25">
      <c r="A33" s="4" t="s">
        <v>19</v>
      </c>
      <c r="D33" s="4" t="s">
        <v>220</v>
      </c>
      <c r="G33" s="4" t="s">
        <v>119</v>
      </c>
      <c r="H33" s="4" t="s">
        <v>120</v>
      </c>
      <c r="I33" s="4" t="s">
        <v>121</v>
      </c>
      <c r="J33" s="4" t="s">
        <v>122</v>
      </c>
      <c r="K33" s="4" t="s">
        <v>351</v>
      </c>
      <c r="L33" s="4" t="s">
        <v>123</v>
      </c>
      <c r="M33" s="4" t="s">
        <v>124</v>
      </c>
      <c r="N33" s="4" t="s">
        <v>352</v>
      </c>
      <c r="O33" s="4" t="s">
        <v>353</v>
      </c>
      <c r="P33" s="4" t="s">
        <v>354</v>
      </c>
      <c r="Q33" s="4" t="s">
        <v>355</v>
      </c>
      <c r="R33" s="4" t="s">
        <v>356</v>
      </c>
    </row>
    <row r="34" spans="1:18" x14ac:dyDescent="0.25">
      <c r="A34" s="4" t="s">
        <v>19</v>
      </c>
      <c r="D34" s="4" t="s">
        <v>221</v>
      </c>
      <c r="G34" s="4" t="s">
        <v>45</v>
      </c>
      <c r="H34" s="4" t="s">
        <v>125</v>
      </c>
      <c r="I34" s="4" t="s">
        <v>46</v>
      </c>
      <c r="J34" s="4" t="s">
        <v>126</v>
      </c>
      <c r="K34" s="4" t="s">
        <v>357</v>
      </c>
      <c r="L34" s="4" t="s">
        <v>47</v>
      </c>
      <c r="M34" s="4" t="s">
        <v>48</v>
      </c>
      <c r="N34" s="4" t="s">
        <v>358</v>
      </c>
      <c r="O34" s="4" t="s">
        <v>359</v>
      </c>
      <c r="P34" s="4" t="s">
        <v>360</v>
      </c>
      <c r="Q34" s="4" t="s">
        <v>361</v>
      </c>
      <c r="R34" s="4" t="s">
        <v>362</v>
      </c>
    </row>
    <row r="35" spans="1:18" x14ac:dyDescent="0.25">
      <c r="A35" s="4" t="s">
        <v>19</v>
      </c>
      <c r="D35" s="4" t="s">
        <v>222</v>
      </c>
      <c r="G35" s="4" t="s">
        <v>127</v>
      </c>
      <c r="H35" s="4" t="s">
        <v>128</v>
      </c>
      <c r="I35" s="4" t="s">
        <v>129</v>
      </c>
      <c r="J35" s="4" t="s">
        <v>130</v>
      </c>
      <c r="K35" s="4" t="s">
        <v>363</v>
      </c>
      <c r="L35" s="4" t="s">
        <v>131</v>
      </c>
      <c r="M35" s="4" t="s">
        <v>132</v>
      </c>
      <c r="N35" s="4" t="s">
        <v>364</v>
      </c>
      <c r="O35" s="4" t="s">
        <v>365</v>
      </c>
      <c r="P35" s="4" t="s">
        <v>366</v>
      </c>
      <c r="Q35" s="4" t="s">
        <v>367</v>
      </c>
      <c r="R35" s="4" t="s">
        <v>368</v>
      </c>
    </row>
    <row r="36" spans="1:18" x14ac:dyDescent="0.25">
      <c r="A36" s="4" t="s">
        <v>19</v>
      </c>
      <c r="D36" s="4" t="s">
        <v>223</v>
      </c>
      <c r="G36" s="4" t="s">
        <v>133</v>
      </c>
      <c r="H36" s="4" t="s">
        <v>134</v>
      </c>
      <c r="I36" s="4" t="s">
        <v>135</v>
      </c>
      <c r="J36" s="4" t="s">
        <v>136</v>
      </c>
      <c r="K36" s="4" t="s">
        <v>369</v>
      </c>
      <c r="L36" s="4" t="s">
        <v>137</v>
      </c>
      <c r="M36" s="4" t="s">
        <v>138</v>
      </c>
      <c r="N36" s="4" t="s">
        <v>370</v>
      </c>
      <c r="O36" s="4" t="s">
        <v>371</v>
      </c>
      <c r="P36" s="4" t="s">
        <v>372</v>
      </c>
      <c r="Q36" s="4" t="s">
        <v>373</v>
      </c>
      <c r="R36" s="4" t="s">
        <v>374</v>
      </c>
    </row>
    <row r="37" spans="1:18" x14ac:dyDescent="0.25">
      <c r="A37" s="4" t="s">
        <v>19</v>
      </c>
      <c r="D37" s="4" t="s">
        <v>224</v>
      </c>
      <c r="G37" s="4" t="s">
        <v>139</v>
      </c>
      <c r="H37" s="4" t="s">
        <v>140</v>
      </c>
      <c r="I37" s="4" t="s">
        <v>141</v>
      </c>
      <c r="J37" s="4" t="s">
        <v>142</v>
      </c>
      <c r="K37" s="4" t="s">
        <v>375</v>
      </c>
      <c r="L37" s="4" t="s">
        <v>143</v>
      </c>
      <c r="M37" s="4" t="s">
        <v>144</v>
      </c>
      <c r="N37" s="4" t="s">
        <v>376</v>
      </c>
      <c r="O37" s="4" t="s">
        <v>377</v>
      </c>
      <c r="P37" s="4" t="s">
        <v>378</v>
      </c>
      <c r="Q37" s="4" t="s">
        <v>379</v>
      </c>
      <c r="R37" s="4" t="s">
        <v>380</v>
      </c>
    </row>
    <row r="38" spans="1:18" x14ac:dyDescent="0.25">
      <c r="A38" s="4" t="s">
        <v>19</v>
      </c>
      <c r="D38" s="4" t="s">
        <v>225</v>
      </c>
      <c r="G38" s="4" t="s">
        <v>25</v>
      </c>
      <c r="H38" s="4" t="s">
        <v>145</v>
      </c>
      <c r="I38" s="4" t="s">
        <v>26</v>
      </c>
      <c r="J38" s="4" t="s">
        <v>146</v>
      </c>
      <c r="K38" s="4" t="s">
        <v>381</v>
      </c>
      <c r="L38" s="4" t="s">
        <v>27</v>
      </c>
      <c r="M38" s="4" t="s">
        <v>28</v>
      </c>
      <c r="N38" s="4" t="s">
        <v>382</v>
      </c>
      <c r="O38" s="4" t="s">
        <v>383</v>
      </c>
      <c r="P38" s="4" t="s">
        <v>384</v>
      </c>
      <c r="Q38" s="4" t="s">
        <v>385</v>
      </c>
      <c r="R38" s="4" t="s">
        <v>386</v>
      </c>
    </row>
    <row r="39" spans="1:18" x14ac:dyDescent="0.25">
      <c r="A39" s="4" t="s">
        <v>19</v>
      </c>
      <c r="D39" s="4" t="s">
        <v>226</v>
      </c>
      <c r="G39" s="4" t="s">
        <v>20</v>
      </c>
      <c r="H39" s="4" t="s">
        <v>147</v>
      </c>
      <c r="I39" s="4" t="s">
        <v>21</v>
      </c>
      <c r="J39" s="4" t="s">
        <v>148</v>
      </c>
      <c r="K39" s="4" t="s">
        <v>387</v>
      </c>
      <c r="L39" s="4" t="s">
        <v>22</v>
      </c>
      <c r="M39" s="4" t="s">
        <v>23</v>
      </c>
      <c r="N39" s="4" t="s">
        <v>388</v>
      </c>
      <c r="O39" s="4" t="s">
        <v>389</v>
      </c>
      <c r="P39" s="4" t="s">
        <v>390</v>
      </c>
      <c r="Q39" s="4" t="s">
        <v>391</v>
      </c>
      <c r="R39" s="4" t="s">
        <v>392</v>
      </c>
    </row>
    <row r="40" spans="1:18" x14ac:dyDescent="0.25">
      <c r="A40" s="4" t="s">
        <v>19</v>
      </c>
      <c r="D40" s="4" t="s">
        <v>227</v>
      </c>
      <c r="G40" s="4" t="s">
        <v>29</v>
      </c>
      <c r="H40" s="4" t="s">
        <v>149</v>
      </c>
      <c r="I40" s="4" t="s">
        <v>30</v>
      </c>
      <c r="J40" s="4" t="s">
        <v>150</v>
      </c>
      <c r="K40" s="4" t="s">
        <v>393</v>
      </c>
      <c r="L40" s="4" t="s">
        <v>31</v>
      </c>
      <c r="M40" s="4" t="s">
        <v>32</v>
      </c>
      <c r="N40" s="4" t="s">
        <v>394</v>
      </c>
      <c r="O40" s="4" t="s">
        <v>395</v>
      </c>
      <c r="P40" s="4" t="s">
        <v>396</v>
      </c>
      <c r="Q40" s="4" t="s">
        <v>397</v>
      </c>
      <c r="R40" s="4" t="s">
        <v>398</v>
      </c>
    </row>
    <row r="41" spans="1:18" x14ac:dyDescent="0.25">
      <c r="A41" s="4" t="s">
        <v>19</v>
      </c>
      <c r="D41" s="4" t="s">
        <v>228</v>
      </c>
      <c r="G41" s="4" t="s">
        <v>49</v>
      </c>
      <c r="H41" s="4" t="s">
        <v>151</v>
      </c>
      <c r="I41" s="4" t="s">
        <v>50</v>
      </c>
      <c r="J41" s="4" t="s">
        <v>152</v>
      </c>
      <c r="K41" s="4" t="s">
        <v>399</v>
      </c>
      <c r="L41" s="4" t="s">
        <v>51</v>
      </c>
      <c r="M41" s="4" t="s">
        <v>52</v>
      </c>
      <c r="N41" s="4" t="s">
        <v>400</v>
      </c>
      <c r="O41" s="4" t="s">
        <v>401</v>
      </c>
      <c r="P41" s="4" t="s">
        <v>402</v>
      </c>
      <c r="Q41" s="4" t="s">
        <v>403</v>
      </c>
      <c r="R41" s="4" t="s">
        <v>404</v>
      </c>
    </row>
    <row r="42" spans="1:18" x14ac:dyDescent="0.25">
      <c r="A42" s="4" t="s">
        <v>19</v>
      </c>
      <c r="D42" s="4" t="s">
        <v>229</v>
      </c>
      <c r="G42" s="4" t="s">
        <v>153</v>
      </c>
      <c r="H42" s="4" t="s">
        <v>154</v>
      </c>
      <c r="I42" s="4" t="s">
        <v>155</v>
      </c>
      <c r="J42" s="4" t="s">
        <v>156</v>
      </c>
      <c r="K42" s="4" t="s">
        <v>405</v>
      </c>
      <c r="L42" s="4" t="s">
        <v>157</v>
      </c>
      <c r="M42" s="4" t="s">
        <v>158</v>
      </c>
      <c r="N42" s="4" t="s">
        <v>406</v>
      </c>
      <c r="O42" s="4" t="s">
        <v>407</v>
      </c>
      <c r="P42" s="4" t="s">
        <v>408</v>
      </c>
      <c r="Q42" s="4" t="s">
        <v>409</v>
      </c>
      <c r="R42" s="4" t="s">
        <v>410</v>
      </c>
    </row>
    <row r="43" spans="1:18" x14ac:dyDescent="0.25">
      <c r="A43" s="4" t="s">
        <v>19</v>
      </c>
      <c r="D43" s="4" t="s">
        <v>230</v>
      </c>
      <c r="G43" s="4" t="s">
        <v>159</v>
      </c>
      <c r="H43" s="4" t="s">
        <v>160</v>
      </c>
      <c r="I43" s="4" t="s">
        <v>161</v>
      </c>
      <c r="J43" s="4" t="s">
        <v>162</v>
      </c>
      <c r="K43" s="4" t="s">
        <v>411</v>
      </c>
      <c r="L43" s="4" t="s">
        <v>163</v>
      </c>
      <c r="M43" s="4" t="s">
        <v>164</v>
      </c>
      <c r="N43" s="4" t="s">
        <v>412</v>
      </c>
      <c r="O43" s="4" t="s">
        <v>413</v>
      </c>
      <c r="P43" s="4" t="s">
        <v>414</v>
      </c>
      <c r="Q43" s="4" t="s">
        <v>415</v>
      </c>
      <c r="R43" s="4" t="s">
        <v>416</v>
      </c>
    </row>
    <row r="44" spans="1:18" x14ac:dyDescent="0.25">
      <c r="A44" s="4" t="s">
        <v>19</v>
      </c>
      <c r="D44" s="4" t="s">
        <v>231</v>
      </c>
      <c r="G44" s="4" t="s">
        <v>165</v>
      </c>
      <c r="H44" s="4" t="s">
        <v>166</v>
      </c>
      <c r="I44" s="4" t="s">
        <v>167</v>
      </c>
      <c r="J44" s="4" t="s">
        <v>168</v>
      </c>
      <c r="K44" s="4" t="s">
        <v>417</v>
      </c>
      <c r="L44" s="4" t="s">
        <v>169</v>
      </c>
      <c r="M44" s="4" t="s">
        <v>170</v>
      </c>
      <c r="N44" s="4" t="s">
        <v>418</v>
      </c>
      <c r="O44" s="4" t="s">
        <v>419</v>
      </c>
      <c r="P44" s="4" t="s">
        <v>420</v>
      </c>
      <c r="Q44" s="4" t="s">
        <v>421</v>
      </c>
      <c r="R44" s="4" t="s">
        <v>422</v>
      </c>
    </row>
    <row r="45" spans="1:18" x14ac:dyDescent="0.25">
      <c r="A45" s="4" t="s">
        <v>19</v>
      </c>
      <c r="D45" s="4" t="s">
        <v>232</v>
      </c>
      <c r="G45" s="4" t="s">
        <v>53</v>
      </c>
      <c r="H45" s="4" t="s">
        <v>171</v>
      </c>
      <c r="I45" s="4" t="s">
        <v>54</v>
      </c>
      <c r="J45" s="4" t="s">
        <v>172</v>
      </c>
      <c r="K45" s="4" t="s">
        <v>423</v>
      </c>
      <c r="L45" s="4" t="s">
        <v>55</v>
      </c>
      <c r="M45" s="4" t="s">
        <v>56</v>
      </c>
      <c r="N45" s="4" t="s">
        <v>424</v>
      </c>
      <c r="O45" s="4" t="s">
        <v>425</v>
      </c>
      <c r="P45" s="4" t="s">
        <v>426</v>
      </c>
      <c r="Q45" s="4" t="s">
        <v>427</v>
      </c>
      <c r="R45" s="4" t="s">
        <v>428</v>
      </c>
    </row>
    <row r="46" spans="1:18" x14ac:dyDescent="0.25">
      <c r="A46" s="4" t="s">
        <v>19</v>
      </c>
      <c r="D46" s="4" t="s">
        <v>233</v>
      </c>
      <c r="G46" s="4" t="s">
        <v>173</v>
      </c>
      <c r="H46" s="4" t="s">
        <v>174</v>
      </c>
      <c r="I46" s="4" t="s">
        <v>175</v>
      </c>
      <c r="J46" s="4" t="s">
        <v>176</v>
      </c>
      <c r="K46" s="4" t="s">
        <v>429</v>
      </c>
      <c r="L46" s="4" t="s">
        <v>177</v>
      </c>
      <c r="M46" s="4" t="s">
        <v>178</v>
      </c>
      <c r="N46" s="4" t="s">
        <v>430</v>
      </c>
      <c r="O46" s="4" t="s">
        <v>431</v>
      </c>
      <c r="P46" s="4" t="s">
        <v>432</v>
      </c>
      <c r="Q46" s="4" t="s">
        <v>433</v>
      </c>
      <c r="R46" s="4" t="s">
        <v>434</v>
      </c>
    </row>
    <row r="47" spans="1:18" x14ac:dyDescent="0.25">
      <c r="A47" s="4" t="s">
        <v>19</v>
      </c>
      <c r="D47" s="4" t="s">
        <v>234</v>
      </c>
      <c r="G47" s="4" t="s">
        <v>179</v>
      </c>
      <c r="H47" s="4" t="s">
        <v>180</v>
      </c>
      <c r="I47" s="4" t="s">
        <v>181</v>
      </c>
      <c r="J47" s="4" t="s">
        <v>182</v>
      </c>
      <c r="K47" s="4" t="s">
        <v>435</v>
      </c>
      <c r="L47" s="4" t="s">
        <v>183</v>
      </c>
      <c r="M47" s="4" t="s">
        <v>184</v>
      </c>
      <c r="N47" s="4" t="s">
        <v>436</v>
      </c>
      <c r="O47" s="4" t="s">
        <v>437</v>
      </c>
      <c r="P47" s="4" t="s">
        <v>438</v>
      </c>
      <c r="Q47" s="4" t="s">
        <v>439</v>
      </c>
      <c r="R47" s="4" t="s">
        <v>440</v>
      </c>
    </row>
    <row r="48" spans="1:18" x14ac:dyDescent="0.25">
      <c r="A48" s="4" t="s">
        <v>19</v>
      </c>
      <c r="D48" s="4" t="s">
        <v>235</v>
      </c>
      <c r="G48" s="4" t="s">
        <v>185</v>
      </c>
      <c r="H48" s="4" t="s">
        <v>186</v>
      </c>
      <c r="I48" s="4" t="s">
        <v>187</v>
      </c>
      <c r="J48" s="4" t="s">
        <v>188</v>
      </c>
      <c r="K48" s="4" t="s">
        <v>441</v>
      </c>
      <c r="L48" s="4" t="s">
        <v>189</v>
      </c>
      <c r="M48" s="4" t="s">
        <v>190</v>
      </c>
      <c r="N48" s="4" t="s">
        <v>442</v>
      </c>
      <c r="O48" s="4" t="s">
        <v>443</v>
      </c>
      <c r="P48" s="4" t="s">
        <v>444</v>
      </c>
      <c r="Q48" s="4" t="s">
        <v>445</v>
      </c>
      <c r="R48" s="4" t="s">
        <v>446</v>
      </c>
    </row>
    <row r="49" spans="1:18" x14ac:dyDescent="0.25">
      <c r="A49" s="4" t="s">
        <v>19</v>
      </c>
      <c r="D49" s="4" t="s">
        <v>236</v>
      </c>
      <c r="G49" s="4" t="s">
        <v>57</v>
      </c>
      <c r="H49" s="4" t="s">
        <v>191</v>
      </c>
      <c r="I49" s="4" t="s">
        <v>58</v>
      </c>
      <c r="J49" s="4" t="s">
        <v>192</v>
      </c>
      <c r="K49" s="4" t="s">
        <v>447</v>
      </c>
      <c r="L49" s="4" t="s">
        <v>59</v>
      </c>
      <c r="M49" s="4" t="s">
        <v>60</v>
      </c>
      <c r="N49" s="4" t="s">
        <v>448</v>
      </c>
      <c r="O49" s="4" t="s">
        <v>449</v>
      </c>
      <c r="P49" s="4" t="s">
        <v>450</v>
      </c>
      <c r="Q49" s="4" t="s">
        <v>451</v>
      </c>
      <c r="R49" s="4" t="s">
        <v>452</v>
      </c>
    </row>
    <row r="50" spans="1:18" x14ac:dyDescent="0.25">
      <c r="A50" s="4" t="s">
        <v>19</v>
      </c>
      <c r="D50" s="4" t="s">
        <v>237</v>
      </c>
      <c r="G50" s="4" t="s">
        <v>193</v>
      </c>
      <c r="H50" s="4" t="s">
        <v>194</v>
      </c>
      <c r="I50" s="4" t="s">
        <v>195</v>
      </c>
      <c r="J50" s="4" t="s">
        <v>196</v>
      </c>
      <c r="K50" s="4" t="s">
        <v>453</v>
      </c>
      <c r="L50" s="4" t="s">
        <v>197</v>
      </c>
      <c r="M50" s="4" t="s">
        <v>198</v>
      </c>
      <c r="N50" s="4" t="s">
        <v>454</v>
      </c>
      <c r="O50" s="4" t="s">
        <v>455</v>
      </c>
      <c r="P50" s="4" t="s">
        <v>456</v>
      </c>
      <c r="Q50" s="4" t="s">
        <v>457</v>
      </c>
      <c r="R50" s="4" t="s">
        <v>458</v>
      </c>
    </row>
    <row r="51" spans="1:18" x14ac:dyDescent="0.25">
      <c r="A51" s="4" t="s">
        <v>19</v>
      </c>
      <c r="D51" s="4" t="s">
        <v>238</v>
      </c>
      <c r="G51" s="4" t="s">
        <v>199</v>
      </c>
      <c r="H51" s="4" t="s">
        <v>200</v>
      </c>
      <c r="I51" s="4" t="s">
        <v>201</v>
      </c>
      <c r="J51" s="4" t="s">
        <v>202</v>
      </c>
      <c r="K51" s="4" t="s">
        <v>459</v>
      </c>
      <c r="L51" s="4" t="s">
        <v>203</v>
      </c>
      <c r="M51" s="4" t="s">
        <v>204</v>
      </c>
      <c r="N51" s="4" t="s">
        <v>460</v>
      </c>
      <c r="O51" s="4" t="s">
        <v>461</v>
      </c>
      <c r="P51" s="4" t="s">
        <v>462</v>
      </c>
      <c r="Q51" s="4" t="s">
        <v>463</v>
      </c>
      <c r="R51" s="4" t="s">
        <v>464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/>
  </sheetViews>
  <sheetFormatPr defaultRowHeight="15" x14ac:dyDescent="0.25"/>
  <sheetData>
    <row r="1" spans="1:9" x14ac:dyDescent="0.25">
      <c r="A1" s="4" t="s">
        <v>675</v>
      </c>
      <c r="B1" s="4" t="s">
        <v>472</v>
      </c>
      <c r="C1" s="4" t="s">
        <v>473</v>
      </c>
      <c r="D1" s="4" t="s">
        <v>474</v>
      </c>
      <c r="E1" s="4" t="s">
        <v>477</v>
      </c>
    </row>
    <row r="2" spans="1:9" x14ac:dyDescent="0.25">
      <c r="A2" s="4" t="s">
        <v>475</v>
      </c>
      <c r="C2" s="4" t="s">
        <v>206</v>
      </c>
    </row>
    <row r="3" spans="1:9" x14ac:dyDescent="0.25">
      <c r="A3" s="4" t="s">
        <v>476</v>
      </c>
      <c r="C3" s="4" t="s">
        <v>62</v>
      </c>
      <c r="D3" s="4" t="s">
        <v>1438</v>
      </c>
    </row>
    <row r="4" spans="1:9" x14ac:dyDescent="0.25">
      <c r="A4" s="4" t="s">
        <v>475</v>
      </c>
      <c r="C4" s="4" t="s">
        <v>467</v>
      </c>
      <c r="D4" s="4" t="s">
        <v>535</v>
      </c>
      <c r="E4" s="4" t="s">
        <v>621</v>
      </c>
    </row>
    <row r="5" spans="1:9" x14ac:dyDescent="0.25">
      <c r="A5" s="4" t="s">
        <v>475</v>
      </c>
      <c r="C5" s="4" t="s">
        <v>468</v>
      </c>
      <c r="D5" s="4" t="s">
        <v>536</v>
      </c>
    </row>
    <row r="6" spans="1:9" x14ac:dyDescent="0.25">
      <c r="A6" s="4" t="s">
        <v>475</v>
      </c>
      <c r="C6" s="4" t="s">
        <v>469</v>
      </c>
      <c r="D6" s="4" t="s">
        <v>503</v>
      </c>
      <c r="E6" s="4" t="s">
        <v>504</v>
      </c>
    </row>
    <row r="7" spans="1:9" x14ac:dyDescent="0.25">
      <c r="A7" s="4" t="s">
        <v>661</v>
      </c>
      <c r="C7" s="4" t="s">
        <v>662</v>
      </c>
      <c r="D7" s="4" t="s">
        <v>207</v>
      </c>
      <c r="E7" s="4" t="s">
        <v>622</v>
      </c>
    </row>
    <row r="8" spans="1:9" x14ac:dyDescent="0.25">
      <c r="A8" s="4" t="s">
        <v>475</v>
      </c>
      <c r="C8" s="4" t="s">
        <v>663</v>
      </c>
      <c r="E8" s="4" t="s">
        <v>505</v>
      </c>
    </row>
    <row r="9" spans="1:9" x14ac:dyDescent="0.25">
      <c r="A9" s="4" t="s">
        <v>475</v>
      </c>
      <c r="C9" s="4" t="s">
        <v>11</v>
      </c>
      <c r="D9" s="4" t="s">
        <v>16</v>
      </c>
    </row>
    <row r="10" spans="1:9" x14ac:dyDescent="0.25">
      <c r="C10" s="4" t="s">
        <v>12</v>
      </c>
      <c r="D10" s="4" t="s">
        <v>506</v>
      </c>
    </row>
    <row r="11" spans="1:9" x14ac:dyDescent="0.25">
      <c r="I11" s="4" t="s">
        <v>537</v>
      </c>
    </row>
    <row r="18" spans="2:16" x14ac:dyDescent="0.25">
      <c r="G18" s="4" t="s">
        <v>470</v>
      </c>
      <c r="H18" s="4" t="s">
        <v>507</v>
      </c>
    </row>
    <row r="19" spans="2:16" x14ac:dyDescent="0.25">
      <c r="G19" s="4" t="s">
        <v>471</v>
      </c>
      <c r="H19" s="4" t="s">
        <v>508</v>
      </c>
    </row>
    <row r="21" spans="2:16" x14ac:dyDescent="0.25">
      <c r="N21" s="4" t="s">
        <v>12</v>
      </c>
      <c r="O21" s="4" t="s">
        <v>12</v>
      </c>
    </row>
    <row r="22" spans="2:16" x14ac:dyDescent="0.25">
      <c r="G22" s="4" t="s">
        <v>0</v>
      </c>
      <c r="I22" s="4" t="s">
        <v>1</v>
      </c>
      <c r="J22" s="4" t="s">
        <v>2</v>
      </c>
      <c r="K22" s="4" t="s">
        <v>3</v>
      </c>
      <c r="L22" s="4" t="s">
        <v>5</v>
      </c>
      <c r="M22" s="4" t="s">
        <v>4</v>
      </c>
      <c r="N22" s="4" t="s">
        <v>5</v>
      </c>
      <c r="O22" s="4" t="s">
        <v>4</v>
      </c>
      <c r="P22" s="4" t="s">
        <v>239</v>
      </c>
    </row>
    <row r="24" spans="2:16" x14ac:dyDescent="0.25">
      <c r="B24" s="4" t="s">
        <v>509</v>
      </c>
      <c r="C24" s="4" t="s">
        <v>510</v>
      </c>
      <c r="D24" s="4" t="s">
        <v>623</v>
      </c>
      <c r="E24" s="4" t="s">
        <v>511</v>
      </c>
      <c r="G24" s="4" t="s">
        <v>512</v>
      </c>
    </row>
    <row r="25" spans="2:16" x14ac:dyDescent="0.25">
      <c r="B25" s="4" t="s">
        <v>509</v>
      </c>
      <c r="C25" s="4" t="s">
        <v>513</v>
      </c>
      <c r="D25" s="4" t="s">
        <v>624</v>
      </c>
      <c r="G25" s="4" t="s">
        <v>514</v>
      </c>
      <c r="I25" s="4" t="s">
        <v>515</v>
      </c>
      <c r="J25" s="4" t="s">
        <v>516</v>
      </c>
      <c r="K25" s="4" t="s">
        <v>517</v>
      </c>
      <c r="L25" s="4" t="s">
        <v>625</v>
      </c>
      <c r="M25" s="4" t="s">
        <v>626</v>
      </c>
      <c r="N25" s="4" t="s">
        <v>518</v>
      </c>
      <c r="O25" s="4" t="s">
        <v>519</v>
      </c>
      <c r="P25" s="4" t="s">
        <v>520</v>
      </c>
    </row>
    <row r="26" spans="2:16" x14ac:dyDescent="0.25">
      <c r="B26" s="4" t="s">
        <v>509</v>
      </c>
    </row>
    <row r="27" spans="2:16" x14ac:dyDescent="0.25">
      <c r="B27" s="4" t="s">
        <v>509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/>
  </sheetViews>
  <sheetFormatPr defaultRowHeight="15" x14ac:dyDescent="0.25"/>
  <sheetData>
    <row r="1" spans="1:9" x14ac:dyDescent="0.25">
      <c r="A1" s="4" t="s">
        <v>675</v>
      </c>
      <c r="B1" s="4" t="s">
        <v>472</v>
      </c>
      <c r="C1" s="4" t="s">
        <v>473</v>
      </c>
      <c r="D1" s="4" t="s">
        <v>474</v>
      </c>
      <c r="E1" s="4" t="s">
        <v>477</v>
      </c>
    </row>
    <row r="2" spans="1:9" x14ac:dyDescent="0.25">
      <c r="A2" s="4" t="s">
        <v>475</v>
      </c>
      <c r="C2" s="4" t="s">
        <v>206</v>
      </c>
    </row>
    <row r="3" spans="1:9" x14ac:dyDescent="0.25">
      <c r="A3" s="4" t="s">
        <v>476</v>
      </c>
      <c r="C3" s="4" t="s">
        <v>62</v>
      </c>
      <c r="D3" s="4" t="s">
        <v>1438</v>
      </c>
    </row>
    <row r="4" spans="1:9" x14ac:dyDescent="0.25">
      <c r="A4" s="4" t="s">
        <v>475</v>
      </c>
      <c r="C4" s="4" t="s">
        <v>467</v>
      </c>
      <c r="D4" s="4" t="s">
        <v>502</v>
      </c>
      <c r="E4" s="4" t="s">
        <v>621</v>
      </c>
    </row>
    <row r="5" spans="1:9" x14ac:dyDescent="0.25">
      <c r="A5" s="4" t="s">
        <v>475</v>
      </c>
      <c r="C5" s="4" t="s">
        <v>468</v>
      </c>
      <c r="D5" s="4" t="s">
        <v>502</v>
      </c>
    </row>
    <row r="6" spans="1:9" x14ac:dyDescent="0.25">
      <c r="A6" s="4" t="s">
        <v>475</v>
      </c>
      <c r="C6" s="4" t="s">
        <v>469</v>
      </c>
      <c r="D6" s="4" t="s">
        <v>521</v>
      </c>
      <c r="E6" s="4" t="s">
        <v>504</v>
      </c>
    </row>
    <row r="7" spans="1:9" x14ac:dyDescent="0.25">
      <c r="A7" s="4" t="s">
        <v>661</v>
      </c>
      <c r="C7" s="4" t="s">
        <v>662</v>
      </c>
      <c r="D7" s="4" t="s">
        <v>207</v>
      </c>
      <c r="E7" s="4" t="s">
        <v>627</v>
      </c>
    </row>
    <row r="8" spans="1:9" x14ac:dyDescent="0.25">
      <c r="A8" s="4" t="s">
        <v>475</v>
      </c>
      <c r="C8" s="4" t="s">
        <v>663</v>
      </c>
      <c r="E8" s="4" t="s">
        <v>522</v>
      </c>
    </row>
    <row r="9" spans="1:9" x14ac:dyDescent="0.25">
      <c r="A9" s="4" t="s">
        <v>475</v>
      </c>
      <c r="C9" s="4" t="s">
        <v>11</v>
      </c>
      <c r="D9" s="4" t="s">
        <v>16</v>
      </c>
    </row>
    <row r="10" spans="1:9" x14ac:dyDescent="0.25">
      <c r="C10" s="4" t="s">
        <v>12</v>
      </c>
      <c r="D10" s="4" t="s">
        <v>523</v>
      </c>
    </row>
    <row r="11" spans="1:9" x14ac:dyDescent="0.25">
      <c r="I11" s="4" t="s">
        <v>538</v>
      </c>
    </row>
    <row r="18" spans="2:16" x14ac:dyDescent="0.25">
      <c r="G18" s="4" t="s">
        <v>470</v>
      </c>
      <c r="H18" s="4" t="s">
        <v>524</v>
      </c>
    </row>
    <row r="19" spans="2:16" x14ac:dyDescent="0.25">
      <c r="G19" s="4" t="s">
        <v>471</v>
      </c>
      <c r="H19" s="4" t="s">
        <v>508</v>
      </c>
    </row>
    <row r="21" spans="2:16" x14ac:dyDescent="0.25">
      <c r="N21" s="4" t="s">
        <v>12</v>
      </c>
      <c r="O21" s="4" t="s">
        <v>12</v>
      </c>
    </row>
    <row r="22" spans="2:16" x14ac:dyDescent="0.25">
      <c r="G22" s="4" t="s">
        <v>0</v>
      </c>
      <c r="I22" s="4" t="s">
        <v>1</v>
      </c>
      <c r="J22" s="4" t="s">
        <v>2</v>
      </c>
      <c r="K22" s="4" t="s">
        <v>3</v>
      </c>
      <c r="L22" s="4" t="s">
        <v>5</v>
      </c>
      <c r="M22" s="4" t="s">
        <v>4</v>
      </c>
      <c r="N22" s="4" t="s">
        <v>5</v>
      </c>
      <c r="O22" s="4" t="s">
        <v>4</v>
      </c>
      <c r="P22" s="4" t="s">
        <v>239</v>
      </c>
    </row>
    <row r="24" spans="2:16" x14ac:dyDescent="0.25">
      <c r="B24" s="4" t="s">
        <v>525</v>
      </c>
      <c r="C24" s="4" t="s">
        <v>510</v>
      </c>
      <c r="D24" s="4" t="s">
        <v>628</v>
      </c>
      <c r="E24" s="4" t="s">
        <v>526</v>
      </c>
      <c r="G24" s="4" t="s">
        <v>527</v>
      </c>
    </row>
    <row r="25" spans="2:16" x14ac:dyDescent="0.25">
      <c r="B25" s="4" t="s">
        <v>525</v>
      </c>
      <c r="C25" s="4" t="s">
        <v>513</v>
      </c>
      <c r="D25" s="4" t="s">
        <v>629</v>
      </c>
      <c r="G25" s="4" t="s">
        <v>528</v>
      </c>
      <c r="I25" s="4" t="s">
        <v>529</v>
      </c>
      <c r="J25" s="4" t="s">
        <v>530</v>
      </c>
      <c r="K25" s="4" t="s">
        <v>531</v>
      </c>
      <c r="L25" s="4" t="s">
        <v>630</v>
      </c>
      <c r="M25" s="4" t="s">
        <v>631</v>
      </c>
      <c r="N25" s="4" t="s">
        <v>532</v>
      </c>
      <c r="O25" s="4" t="s">
        <v>533</v>
      </c>
      <c r="P25" s="4" t="s">
        <v>534</v>
      </c>
    </row>
    <row r="26" spans="2:16" x14ac:dyDescent="0.25">
      <c r="B26" s="4" t="s">
        <v>525</v>
      </c>
    </row>
    <row r="27" spans="2:16" x14ac:dyDescent="0.25">
      <c r="B27" s="4" t="s">
        <v>525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4"/>
  <sheetViews>
    <sheetView workbookViewId="0"/>
  </sheetViews>
  <sheetFormatPr defaultRowHeight="15" x14ac:dyDescent="0.25"/>
  <sheetData>
    <row r="1" spans="1:9" x14ac:dyDescent="0.25">
      <c r="A1" s="4" t="s">
        <v>1761</v>
      </c>
      <c r="B1" s="4" t="s">
        <v>472</v>
      </c>
      <c r="C1" s="4" t="s">
        <v>473</v>
      </c>
      <c r="D1" s="4" t="s">
        <v>474</v>
      </c>
      <c r="E1" s="4" t="s">
        <v>477</v>
      </c>
    </row>
    <row r="2" spans="1:9" x14ac:dyDescent="0.25">
      <c r="A2" s="4" t="s">
        <v>475</v>
      </c>
      <c r="C2" s="4" t="s">
        <v>206</v>
      </c>
    </row>
    <row r="3" spans="1:9" x14ac:dyDescent="0.25">
      <c r="A3" s="4" t="s">
        <v>476</v>
      </c>
      <c r="C3" s="4" t="s">
        <v>62</v>
      </c>
      <c r="D3" s="4" t="s">
        <v>1438</v>
      </c>
    </row>
    <row r="4" spans="1:9" x14ac:dyDescent="0.25">
      <c r="A4" s="4" t="s">
        <v>475</v>
      </c>
      <c r="C4" s="4" t="s">
        <v>467</v>
      </c>
      <c r="D4" s="4" t="s">
        <v>535</v>
      </c>
      <c r="E4" s="4" t="s">
        <v>621</v>
      </c>
    </row>
    <row r="5" spans="1:9" x14ac:dyDescent="0.25">
      <c r="A5" s="4" t="s">
        <v>475</v>
      </c>
      <c r="C5" s="4" t="s">
        <v>468</v>
      </c>
      <c r="D5" s="4" t="s">
        <v>536</v>
      </c>
    </row>
    <row r="6" spans="1:9" x14ac:dyDescent="0.25">
      <c r="A6" s="4" t="s">
        <v>475</v>
      </c>
      <c r="C6" s="4" t="s">
        <v>469</v>
      </c>
      <c r="D6" s="4" t="s">
        <v>503</v>
      </c>
      <c r="E6" s="4" t="s">
        <v>504</v>
      </c>
    </row>
    <row r="7" spans="1:9" x14ac:dyDescent="0.25">
      <c r="A7" s="4" t="s">
        <v>661</v>
      </c>
      <c r="C7" s="4" t="s">
        <v>662</v>
      </c>
      <c r="D7" s="4" t="s">
        <v>207</v>
      </c>
      <c r="E7" s="4" t="s">
        <v>622</v>
      </c>
    </row>
    <row r="8" spans="1:9" x14ac:dyDescent="0.25">
      <c r="A8" s="4" t="s">
        <v>475</v>
      </c>
      <c r="C8" s="4" t="s">
        <v>663</v>
      </c>
      <c r="E8" s="4" t="s">
        <v>505</v>
      </c>
    </row>
    <row r="9" spans="1:9" x14ac:dyDescent="0.25">
      <c r="A9" s="4" t="s">
        <v>475</v>
      </c>
      <c r="C9" s="4" t="s">
        <v>11</v>
      </c>
      <c r="D9" s="4" t="s">
        <v>16</v>
      </c>
    </row>
    <row r="10" spans="1:9" x14ac:dyDescent="0.25">
      <c r="C10" s="4" t="s">
        <v>12</v>
      </c>
      <c r="D10" s="4" t="s">
        <v>506</v>
      </c>
    </row>
    <row r="11" spans="1:9" x14ac:dyDescent="0.25">
      <c r="I11" s="4" t="s">
        <v>537</v>
      </c>
    </row>
    <row r="18" spans="1:16" x14ac:dyDescent="0.25">
      <c r="G18" s="4" t="s">
        <v>470</v>
      </c>
      <c r="H18" s="4" t="s">
        <v>507</v>
      </c>
    </row>
    <row r="19" spans="1:16" x14ac:dyDescent="0.25">
      <c r="G19" s="4" t="s">
        <v>471</v>
      </c>
      <c r="H19" s="4" t="s">
        <v>508</v>
      </c>
    </row>
    <row r="21" spans="1:16" x14ac:dyDescent="0.25">
      <c r="N21" s="4" t="s">
        <v>12</v>
      </c>
      <c r="O21" s="4" t="s">
        <v>12</v>
      </c>
    </row>
    <row r="22" spans="1:16" x14ac:dyDescent="0.25">
      <c r="G22" s="4" t="s">
        <v>0</v>
      </c>
      <c r="I22" s="4" t="s">
        <v>1</v>
      </c>
      <c r="J22" s="4" t="s">
        <v>2</v>
      </c>
      <c r="K22" s="4" t="s">
        <v>3</v>
      </c>
      <c r="L22" s="4" t="s">
        <v>5</v>
      </c>
      <c r="M22" s="4" t="s">
        <v>4</v>
      </c>
      <c r="N22" s="4" t="s">
        <v>5</v>
      </c>
      <c r="O22" s="4" t="s">
        <v>4</v>
      </c>
      <c r="P22" s="4" t="s">
        <v>239</v>
      </c>
    </row>
    <row r="24" spans="1:16" x14ac:dyDescent="0.25">
      <c r="B24" s="4" t="s">
        <v>509</v>
      </c>
      <c r="C24" s="4" t="s">
        <v>510</v>
      </c>
      <c r="D24" s="4" t="s">
        <v>623</v>
      </c>
      <c r="E24" s="4" t="s">
        <v>511</v>
      </c>
      <c r="G24" s="4" t="s">
        <v>512</v>
      </c>
    </row>
    <row r="25" spans="1:16" x14ac:dyDescent="0.25">
      <c r="B25" s="4" t="s">
        <v>509</v>
      </c>
      <c r="C25" s="4" t="s">
        <v>513</v>
      </c>
      <c r="D25" s="4" t="s">
        <v>624</v>
      </c>
      <c r="G25" s="4" t="s">
        <v>514</v>
      </c>
      <c r="I25" s="4" t="s">
        <v>515</v>
      </c>
      <c r="J25" s="4" t="s">
        <v>516</v>
      </c>
      <c r="K25" s="4" t="s">
        <v>517</v>
      </c>
      <c r="L25" s="4" t="s">
        <v>625</v>
      </c>
      <c r="M25" s="4" t="s">
        <v>626</v>
      </c>
      <c r="N25" s="4" t="s">
        <v>518</v>
      </c>
      <c r="O25" s="4" t="s">
        <v>519</v>
      </c>
      <c r="P25" s="4" t="s">
        <v>520</v>
      </c>
    </row>
    <row r="26" spans="1:16" x14ac:dyDescent="0.25">
      <c r="B26" s="4" t="s">
        <v>509</v>
      </c>
    </row>
    <row r="27" spans="1:16" x14ac:dyDescent="0.25">
      <c r="B27" s="4" t="s">
        <v>509</v>
      </c>
    </row>
    <row r="28" spans="1:16" x14ac:dyDescent="0.25">
      <c r="A28" s="4" t="s">
        <v>19</v>
      </c>
      <c r="B28" s="4" t="s">
        <v>1250</v>
      </c>
      <c r="C28" s="4" t="s">
        <v>1251</v>
      </c>
      <c r="D28" s="4" t="s">
        <v>918</v>
      </c>
      <c r="E28" s="4" t="s">
        <v>1252</v>
      </c>
      <c r="G28" s="4" t="s">
        <v>1253</v>
      </c>
    </row>
    <row r="29" spans="1:16" x14ac:dyDescent="0.25">
      <c r="A29" s="4" t="s">
        <v>19</v>
      </c>
      <c r="B29" s="4" t="s">
        <v>1250</v>
      </c>
      <c r="C29" s="4" t="s">
        <v>1254</v>
      </c>
      <c r="D29" s="4" t="s">
        <v>1255</v>
      </c>
      <c r="G29" s="4" t="s">
        <v>1256</v>
      </c>
      <c r="I29" s="4" t="s">
        <v>1257</v>
      </c>
      <c r="J29" s="4" t="s">
        <v>1258</v>
      </c>
      <c r="K29" s="4" t="s">
        <v>1259</v>
      </c>
      <c r="L29" s="4" t="s">
        <v>1260</v>
      </c>
      <c r="M29" s="4" t="s">
        <v>1261</v>
      </c>
      <c r="N29" s="4" t="s">
        <v>1262</v>
      </c>
      <c r="O29" s="4" t="s">
        <v>1263</v>
      </c>
      <c r="P29" s="4" t="s">
        <v>1264</v>
      </c>
    </row>
    <row r="30" spans="1:16" x14ac:dyDescent="0.25">
      <c r="A30" s="4" t="s">
        <v>19</v>
      </c>
      <c r="B30" s="4" t="s">
        <v>1265</v>
      </c>
      <c r="C30" s="4" t="s">
        <v>1266</v>
      </c>
      <c r="D30" s="4" t="s">
        <v>1440</v>
      </c>
      <c r="G30" s="4" t="s">
        <v>1267</v>
      </c>
      <c r="I30" s="4" t="s">
        <v>1268</v>
      </c>
      <c r="J30" s="4" t="s">
        <v>1269</v>
      </c>
      <c r="K30" s="4" t="s">
        <v>1270</v>
      </c>
      <c r="L30" s="4" t="s">
        <v>1271</v>
      </c>
      <c r="M30" s="4" t="s">
        <v>1272</v>
      </c>
      <c r="N30" s="4" t="s">
        <v>1273</v>
      </c>
      <c r="O30" s="4" t="s">
        <v>1274</v>
      </c>
      <c r="P30" s="4" t="s">
        <v>1275</v>
      </c>
    </row>
    <row r="31" spans="1:16" x14ac:dyDescent="0.25">
      <c r="A31" s="4" t="s">
        <v>19</v>
      </c>
      <c r="B31" s="4" t="s">
        <v>1276</v>
      </c>
      <c r="C31" s="4" t="s">
        <v>1277</v>
      </c>
      <c r="D31" s="4" t="s">
        <v>1441</v>
      </c>
      <c r="G31" s="4" t="s">
        <v>1278</v>
      </c>
      <c r="I31" s="4" t="s">
        <v>1279</v>
      </c>
      <c r="J31" s="4" t="s">
        <v>1280</v>
      </c>
      <c r="K31" s="4" t="s">
        <v>1281</v>
      </c>
      <c r="L31" s="4" t="s">
        <v>1282</v>
      </c>
      <c r="M31" s="4" t="s">
        <v>1283</v>
      </c>
      <c r="N31" s="4" t="s">
        <v>1284</v>
      </c>
      <c r="O31" s="4" t="s">
        <v>1285</v>
      </c>
      <c r="P31" s="4" t="s">
        <v>1286</v>
      </c>
    </row>
    <row r="32" spans="1:16" x14ac:dyDescent="0.25">
      <c r="A32" s="4" t="s">
        <v>19</v>
      </c>
      <c r="B32" s="4" t="s">
        <v>676</v>
      </c>
      <c r="C32" s="4" t="s">
        <v>677</v>
      </c>
      <c r="D32" s="4" t="s">
        <v>1442</v>
      </c>
      <c r="G32" s="4" t="s">
        <v>678</v>
      </c>
      <c r="I32" s="4" t="s">
        <v>679</v>
      </c>
      <c r="J32" s="4" t="s">
        <v>680</v>
      </c>
      <c r="K32" s="4" t="s">
        <v>681</v>
      </c>
      <c r="L32" s="4" t="s">
        <v>682</v>
      </c>
      <c r="M32" s="4" t="s">
        <v>683</v>
      </c>
      <c r="N32" s="4" t="s">
        <v>684</v>
      </c>
      <c r="O32" s="4" t="s">
        <v>685</v>
      </c>
      <c r="P32" s="4" t="s">
        <v>686</v>
      </c>
    </row>
    <row r="33" spans="1:16" x14ac:dyDescent="0.25">
      <c r="A33" s="4" t="s">
        <v>19</v>
      </c>
      <c r="B33" s="4" t="s">
        <v>830</v>
      </c>
      <c r="C33" s="4" t="s">
        <v>831</v>
      </c>
      <c r="D33" s="4" t="s">
        <v>1443</v>
      </c>
      <c r="G33" s="4" t="s">
        <v>832</v>
      </c>
      <c r="I33" s="4" t="s">
        <v>833</v>
      </c>
      <c r="J33" s="4" t="s">
        <v>834</v>
      </c>
      <c r="K33" s="4" t="s">
        <v>835</v>
      </c>
      <c r="L33" s="4" t="s">
        <v>836</v>
      </c>
      <c r="M33" s="4" t="s">
        <v>837</v>
      </c>
      <c r="N33" s="4" t="s">
        <v>838</v>
      </c>
      <c r="O33" s="4" t="s">
        <v>839</v>
      </c>
      <c r="P33" s="4" t="s">
        <v>840</v>
      </c>
    </row>
    <row r="34" spans="1:16" x14ac:dyDescent="0.25">
      <c r="A34" s="4" t="s">
        <v>19</v>
      </c>
      <c r="B34" s="4" t="s">
        <v>874</v>
      </c>
      <c r="C34" s="4" t="s">
        <v>875</v>
      </c>
      <c r="D34" s="4" t="s">
        <v>1444</v>
      </c>
      <c r="G34" s="4" t="s">
        <v>876</v>
      </c>
      <c r="I34" s="4" t="s">
        <v>877</v>
      </c>
      <c r="J34" s="4" t="s">
        <v>878</v>
      </c>
      <c r="K34" s="4" t="s">
        <v>879</v>
      </c>
      <c r="L34" s="4" t="s">
        <v>880</v>
      </c>
      <c r="M34" s="4" t="s">
        <v>881</v>
      </c>
      <c r="N34" s="4" t="s">
        <v>882</v>
      </c>
      <c r="O34" s="4" t="s">
        <v>883</v>
      </c>
      <c r="P34" s="4" t="s">
        <v>884</v>
      </c>
    </row>
    <row r="35" spans="1:16" x14ac:dyDescent="0.25">
      <c r="A35" s="4" t="s">
        <v>19</v>
      </c>
      <c r="B35" s="4" t="s">
        <v>885</v>
      </c>
      <c r="C35" s="4" t="s">
        <v>886</v>
      </c>
      <c r="D35" s="4" t="s">
        <v>1445</v>
      </c>
      <c r="G35" s="4" t="s">
        <v>887</v>
      </c>
      <c r="I35" s="4" t="s">
        <v>888</v>
      </c>
      <c r="J35" s="4" t="s">
        <v>889</v>
      </c>
      <c r="K35" s="4" t="s">
        <v>890</v>
      </c>
      <c r="L35" s="4" t="s">
        <v>891</v>
      </c>
      <c r="M35" s="4" t="s">
        <v>892</v>
      </c>
      <c r="N35" s="4" t="s">
        <v>893</v>
      </c>
      <c r="O35" s="4" t="s">
        <v>894</v>
      </c>
      <c r="P35" s="4" t="s">
        <v>895</v>
      </c>
    </row>
    <row r="36" spans="1:16" x14ac:dyDescent="0.25">
      <c r="A36" s="4" t="s">
        <v>19</v>
      </c>
      <c r="B36" s="4" t="s">
        <v>896</v>
      </c>
      <c r="C36" s="4" t="s">
        <v>897</v>
      </c>
      <c r="D36" s="4" t="s">
        <v>1446</v>
      </c>
      <c r="G36" s="4" t="s">
        <v>898</v>
      </c>
      <c r="I36" s="4" t="s">
        <v>899</v>
      </c>
      <c r="J36" s="4" t="s">
        <v>900</v>
      </c>
      <c r="K36" s="4" t="s">
        <v>901</v>
      </c>
      <c r="L36" s="4" t="s">
        <v>902</v>
      </c>
      <c r="M36" s="4" t="s">
        <v>903</v>
      </c>
      <c r="N36" s="4" t="s">
        <v>904</v>
      </c>
      <c r="O36" s="4" t="s">
        <v>905</v>
      </c>
      <c r="P36" s="4" t="s">
        <v>906</v>
      </c>
    </row>
    <row r="37" spans="1:16" x14ac:dyDescent="0.25">
      <c r="A37" s="4" t="s">
        <v>19</v>
      </c>
      <c r="B37" s="4" t="s">
        <v>1029</v>
      </c>
      <c r="C37" s="4" t="s">
        <v>1030</v>
      </c>
      <c r="D37" s="4" t="s">
        <v>1447</v>
      </c>
      <c r="G37" s="4" t="s">
        <v>1031</v>
      </c>
      <c r="I37" s="4" t="s">
        <v>1032</v>
      </c>
      <c r="J37" s="4" t="s">
        <v>1033</v>
      </c>
      <c r="K37" s="4" t="s">
        <v>1034</v>
      </c>
      <c r="L37" s="4" t="s">
        <v>1035</v>
      </c>
      <c r="M37" s="4" t="s">
        <v>1036</v>
      </c>
      <c r="N37" s="4" t="s">
        <v>1037</v>
      </c>
      <c r="O37" s="4" t="s">
        <v>1038</v>
      </c>
      <c r="P37" s="4" t="s">
        <v>1039</v>
      </c>
    </row>
    <row r="38" spans="1:16" x14ac:dyDescent="0.25">
      <c r="A38" s="4" t="s">
        <v>19</v>
      </c>
      <c r="B38" s="4" t="s">
        <v>1040</v>
      </c>
      <c r="C38" s="4" t="s">
        <v>1041</v>
      </c>
      <c r="D38" s="4" t="s">
        <v>1448</v>
      </c>
      <c r="G38" s="4" t="s">
        <v>1042</v>
      </c>
      <c r="I38" s="4" t="s">
        <v>1043</v>
      </c>
      <c r="J38" s="4" t="s">
        <v>1044</v>
      </c>
      <c r="K38" s="4" t="s">
        <v>1045</v>
      </c>
      <c r="L38" s="4" t="s">
        <v>1046</v>
      </c>
      <c r="M38" s="4" t="s">
        <v>1047</v>
      </c>
      <c r="N38" s="4" t="s">
        <v>1048</v>
      </c>
      <c r="O38" s="4" t="s">
        <v>1049</v>
      </c>
      <c r="P38" s="4" t="s">
        <v>1050</v>
      </c>
    </row>
    <row r="39" spans="1:16" x14ac:dyDescent="0.25">
      <c r="A39" s="4" t="s">
        <v>19</v>
      </c>
      <c r="B39" s="4" t="s">
        <v>1051</v>
      </c>
      <c r="C39" s="4" t="s">
        <v>1052</v>
      </c>
      <c r="D39" s="4" t="s">
        <v>1449</v>
      </c>
      <c r="G39" s="4" t="s">
        <v>1053</v>
      </c>
      <c r="I39" s="4" t="s">
        <v>1054</v>
      </c>
      <c r="J39" s="4" t="s">
        <v>1055</v>
      </c>
      <c r="K39" s="4" t="s">
        <v>1056</v>
      </c>
      <c r="L39" s="4" t="s">
        <v>1057</v>
      </c>
      <c r="M39" s="4" t="s">
        <v>1058</v>
      </c>
      <c r="N39" s="4" t="s">
        <v>1059</v>
      </c>
      <c r="O39" s="4" t="s">
        <v>1060</v>
      </c>
      <c r="P39" s="4" t="s">
        <v>1061</v>
      </c>
    </row>
    <row r="40" spans="1:16" x14ac:dyDescent="0.25">
      <c r="A40" s="4" t="s">
        <v>19</v>
      </c>
      <c r="B40" s="4" t="s">
        <v>687</v>
      </c>
      <c r="C40" s="4" t="s">
        <v>688</v>
      </c>
      <c r="D40" s="4" t="s">
        <v>1450</v>
      </c>
      <c r="G40" s="4" t="s">
        <v>689</v>
      </c>
      <c r="I40" s="4" t="s">
        <v>690</v>
      </c>
      <c r="J40" s="4" t="s">
        <v>691</v>
      </c>
      <c r="K40" s="4" t="s">
        <v>692</v>
      </c>
      <c r="L40" s="4" t="s">
        <v>693</v>
      </c>
      <c r="M40" s="4" t="s">
        <v>694</v>
      </c>
      <c r="N40" s="4" t="s">
        <v>695</v>
      </c>
      <c r="O40" s="4" t="s">
        <v>696</v>
      </c>
      <c r="P40" s="4" t="s">
        <v>697</v>
      </c>
    </row>
    <row r="41" spans="1:16" x14ac:dyDescent="0.25">
      <c r="A41" s="4" t="s">
        <v>19</v>
      </c>
      <c r="B41" s="4" t="s">
        <v>698</v>
      </c>
      <c r="C41" s="4" t="s">
        <v>699</v>
      </c>
      <c r="D41" s="4" t="s">
        <v>1451</v>
      </c>
      <c r="G41" s="4" t="s">
        <v>700</v>
      </c>
      <c r="I41" s="4" t="s">
        <v>701</v>
      </c>
      <c r="J41" s="4" t="s">
        <v>702</v>
      </c>
      <c r="K41" s="4" t="s">
        <v>703</v>
      </c>
      <c r="L41" s="4" t="s">
        <v>704</v>
      </c>
      <c r="M41" s="4" t="s">
        <v>705</v>
      </c>
      <c r="N41" s="4" t="s">
        <v>706</v>
      </c>
      <c r="O41" s="4" t="s">
        <v>707</v>
      </c>
      <c r="P41" s="4" t="s">
        <v>708</v>
      </c>
    </row>
    <row r="42" spans="1:16" x14ac:dyDescent="0.25">
      <c r="A42" s="4" t="s">
        <v>19</v>
      </c>
      <c r="B42" s="4" t="s">
        <v>709</v>
      </c>
      <c r="C42" s="4" t="s">
        <v>710</v>
      </c>
      <c r="D42" s="4" t="s">
        <v>1452</v>
      </c>
      <c r="G42" s="4" t="s">
        <v>711</v>
      </c>
      <c r="I42" s="4" t="s">
        <v>712</v>
      </c>
      <c r="J42" s="4" t="s">
        <v>713</v>
      </c>
      <c r="K42" s="4" t="s">
        <v>714</v>
      </c>
      <c r="L42" s="4" t="s">
        <v>715</v>
      </c>
      <c r="M42" s="4" t="s">
        <v>716</v>
      </c>
      <c r="N42" s="4" t="s">
        <v>717</v>
      </c>
      <c r="O42" s="4" t="s">
        <v>718</v>
      </c>
      <c r="P42" s="4" t="s">
        <v>719</v>
      </c>
    </row>
    <row r="43" spans="1:16" x14ac:dyDescent="0.25">
      <c r="A43" s="4" t="s">
        <v>19</v>
      </c>
      <c r="B43" s="4" t="s">
        <v>1287</v>
      </c>
      <c r="C43" s="4" t="s">
        <v>1288</v>
      </c>
      <c r="D43" s="4" t="s">
        <v>1453</v>
      </c>
      <c r="G43" s="4" t="s">
        <v>1289</v>
      </c>
      <c r="I43" s="4" t="s">
        <v>1290</v>
      </c>
      <c r="J43" s="4" t="s">
        <v>1291</v>
      </c>
      <c r="K43" s="4" t="s">
        <v>1292</v>
      </c>
      <c r="L43" s="4" t="s">
        <v>1293</v>
      </c>
      <c r="M43" s="4" t="s">
        <v>1294</v>
      </c>
      <c r="N43" s="4" t="s">
        <v>1295</v>
      </c>
      <c r="O43" s="4" t="s">
        <v>1296</v>
      </c>
      <c r="P43" s="4" t="s">
        <v>1297</v>
      </c>
    </row>
    <row r="44" spans="1:16" x14ac:dyDescent="0.25">
      <c r="A44" s="4" t="s">
        <v>19</v>
      </c>
      <c r="B44" s="4" t="s">
        <v>1454</v>
      </c>
      <c r="C44" s="4" t="s">
        <v>1455</v>
      </c>
      <c r="D44" s="4" t="s">
        <v>1456</v>
      </c>
      <c r="G44" s="4" t="s">
        <v>1457</v>
      </c>
      <c r="I44" s="4" t="s">
        <v>1458</v>
      </c>
      <c r="J44" s="4" t="s">
        <v>1459</v>
      </c>
      <c r="K44" s="4" t="s">
        <v>1460</v>
      </c>
      <c r="L44" s="4" t="s">
        <v>1461</v>
      </c>
      <c r="M44" s="4" t="s">
        <v>1462</v>
      </c>
      <c r="N44" s="4" t="s">
        <v>1463</v>
      </c>
      <c r="O44" s="4" t="s">
        <v>1464</v>
      </c>
      <c r="P44" s="4" t="s">
        <v>1465</v>
      </c>
    </row>
    <row r="45" spans="1:16" x14ac:dyDescent="0.25">
      <c r="A45" s="4" t="s">
        <v>19</v>
      </c>
      <c r="B45" s="4" t="s">
        <v>1466</v>
      </c>
      <c r="C45" s="4" t="s">
        <v>1467</v>
      </c>
      <c r="D45" s="4" t="s">
        <v>1468</v>
      </c>
      <c r="G45" s="4" t="s">
        <v>1469</v>
      </c>
      <c r="I45" s="4" t="s">
        <v>1470</v>
      </c>
      <c r="J45" s="4" t="s">
        <v>1471</v>
      </c>
      <c r="K45" s="4" t="s">
        <v>1472</v>
      </c>
      <c r="L45" s="4" t="s">
        <v>1473</v>
      </c>
      <c r="M45" s="4" t="s">
        <v>1474</v>
      </c>
      <c r="N45" s="4" t="s">
        <v>1475</v>
      </c>
      <c r="O45" s="4" t="s">
        <v>1476</v>
      </c>
      <c r="P45" s="4" t="s">
        <v>1477</v>
      </c>
    </row>
    <row r="46" spans="1:16" x14ac:dyDescent="0.25">
      <c r="A46" s="4" t="s">
        <v>19</v>
      </c>
      <c r="B46" s="4" t="s">
        <v>1250</v>
      </c>
    </row>
    <row r="47" spans="1:16" x14ac:dyDescent="0.25">
      <c r="A47" s="4" t="s">
        <v>19</v>
      </c>
      <c r="B47" s="4" t="s">
        <v>1250</v>
      </c>
    </row>
    <row r="48" spans="1:16" x14ac:dyDescent="0.25">
      <c r="A48" s="4" t="s">
        <v>19</v>
      </c>
      <c r="B48" s="4" t="s">
        <v>1478</v>
      </c>
      <c r="C48" s="4" t="s">
        <v>1479</v>
      </c>
      <c r="D48" s="4" t="s">
        <v>1480</v>
      </c>
      <c r="E48" s="4" t="s">
        <v>1481</v>
      </c>
      <c r="G48" s="4" t="s">
        <v>1482</v>
      </c>
    </row>
    <row r="49" spans="1:16" x14ac:dyDescent="0.25">
      <c r="A49" s="4" t="s">
        <v>19</v>
      </c>
      <c r="B49" s="4" t="s">
        <v>1478</v>
      </c>
      <c r="C49" s="4" t="s">
        <v>1483</v>
      </c>
      <c r="D49" s="4" t="s">
        <v>1484</v>
      </c>
      <c r="G49" s="4" t="s">
        <v>1485</v>
      </c>
      <c r="I49" s="4" t="s">
        <v>1486</v>
      </c>
      <c r="J49" s="4" t="s">
        <v>1487</v>
      </c>
      <c r="K49" s="4" t="s">
        <v>1488</v>
      </c>
      <c r="L49" s="4" t="s">
        <v>1489</v>
      </c>
      <c r="M49" s="4" t="s">
        <v>1490</v>
      </c>
      <c r="N49" s="4" t="s">
        <v>1491</v>
      </c>
      <c r="O49" s="4" t="s">
        <v>1492</v>
      </c>
      <c r="P49" s="4" t="s">
        <v>1493</v>
      </c>
    </row>
    <row r="50" spans="1:16" x14ac:dyDescent="0.25">
      <c r="A50" s="4" t="s">
        <v>19</v>
      </c>
      <c r="B50" s="4" t="s">
        <v>1494</v>
      </c>
      <c r="C50" s="4" t="s">
        <v>1495</v>
      </c>
      <c r="D50" s="4" t="s">
        <v>1496</v>
      </c>
      <c r="G50" s="4" t="s">
        <v>1497</v>
      </c>
      <c r="I50" s="4" t="s">
        <v>1498</v>
      </c>
      <c r="J50" s="4" t="s">
        <v>1499</v>
      </c>
      <c r="K50" s="4" t="s">
        <v>1500</v>
      </c>
      <c r="L50" s="4" t="s">
        <v>1501</v>
      </c>
      <c r="M50" s="4" t="s">
        <v>1502</v>
      </c>
      <c r="N50" s="4" t="s">
        <v>1503</v>
      </c>
      <c r="O50" s="4" t="s">
        <v>1504</v>
      </c>
      <c r="P50" s="4" t="s">
        <v>1505</v>
      </c>
    </row>
    <row r="51" spans="1:16" x14ac:dyDescent="0.25">
      <c r="A51" s="4" t="s">
        <v>19</v>
      </c>
      <c r="B51" s="4" t="s">
        <v>1117</v>
      </c>
      <c r="C51" s="4" t="s">
        <v>1118</v>
      </c>
      <c r="D51" s="4" t="s">
        <v>1506</v>
      </c>
      <c r="G51" s="4" t="s">
        <v>1119</v>
      </c>
      <c r="I51" s="4" t="s">
        <v>1120</v>
      </c>
      <c r="J51" s="4" t="s">
        <v>1121</v>
      </c>
      <c r="K51" s="4" t="s">
        <v>1122</v>
      </c>
      <c r="L51" s="4" t="s">
        <v>1123</v>
      </c>
      <c r="M51" s="4" t="s">
        <v>1124</v>
      </c>
      <c r="N51" s="4" t="s">
        <v>1125</v>
      </c>
      <c r="O51" s="4" t="s">
        <v>1126</v>
      </c>
      <c r="P51" s="4" t="s">
        <v>1127</v>
      </c>
    </row>
    <row r="52" spans="1:16" x14ac:dyDescent="0.25">
      <c r="A52" s="4" t="s">
        <v>19</v>
      </c>
      <c r="B52" s="4" t="s">
        <v>1478</v>
      </c>
    </row>
    <row r="53" spans="1:16" x14ac:dyDescent="0.25">
      <c r="A53" s="4" t="s">
        <v>19</v>
      </c>
      <c r="B53" s="4" t="s">
        <v>1478</v>
      </c>
    </row>
    <row r="54" spans="1:16" x14ac:dyDescent="0.25">
      <c r="A54" s="4" t="s">
        <v>19</v>
      </c>
      <c r="B54" s="4" t="s">
        <v>720</v>
      </c>
      <c r="C54" s="4" t="s">
        <v>1507</v>
      </c>
      <c r="D54" s="4" t="s">
        <v>1249</v>
      </c>
      <c r="E54" s="4" t="s">
        <v>1508</v>
      </c>
      <c r="G54" s="4" t="s">
        <v>1509</v>
      </c>
    </row>
    <row r="55" spans="1:16" x14ac:dyDescent="0.25">
      <c r="A55" s="4" t="s">
        <v>19</v>
      </c>
      <c r="B55" s="4" t="s">
        <v>720</v>
      </c>
      <c r="C55" s="4" t="s">
        <v>721</v>
      </c>
      <c r="D55" s="4" t="s">
        <v>1510</v>
      </c>
      <c r="G55" s="4" t="s">
        <v>722</v>
      </c>
      <c r="I55" s="4" t="s">
        <v>723</v>
      </c>
      <c r="J55" s="4" t="s">
        <v>724</v>
      </c>
      <c r="K55" s="4" t="s">
        <v>725</v>
      </c>
      <c r="L55" s="4" t="s">
        <v>726</v>
      </c>
      <c r="M55" s="4" t="s">
        <v>727</v>
      </c>
      <c r="N55" s="4" t="s">
        <v>728</v>
      </c>
      <c r="O55" s="4" t="s">
        <v>729</v>
      </c>
      <c r="P55" s="4" t="s">
        <v>730</v>
      </c>
    </row>
    <row r="56" spans="1:16" x14ac:dyDescent="0.25">
      <c r="A56" s="4" t="s">
        <v>19</v>
      </c>
      <c r="B56" s="4" t="s">
        <v>632</v>
      </c>
      <c r="C56" s="4" t="s">
        <v>633</v>
      </c>
      <c r="D56" s="4" t="s">
        <v>1511</v>
      </c>
      <c r="G56" s="4" t="s">
        <v>634</v>
      </c>
      <c r="I56" s="4" t="s">
        <v>635</v>
      </c>
      <c r="J56" s="4" t="s">
        <v>636</v>
      </c>
      <c r="K56" s="4" t="s">
        <v>637</v>
      </c>
      <c r="L56" s="4" t="s">
        <v>638</v>
      </c>
      <c r="M56" s="4" t="s">
        <v>639</v>
      </c>
      <c r="N56" s="4" t="s">
        <v>640</v>
      </c>
      <c r="O56" s="4" t="s">
        <v>641</v>
      </c>
      <c r="P56" s="4" t="s">
        <v>642</v>
      </c>
    </row>
    <row r="57" spans="1:16" x14ac:dyDescent="0.25">
      <c r="A57" s="4" t="s">
        <v>19</v>
      </c>
      <c r="B57" s="4" t="s">
        <v>731</v>
      </c>
      <c r="C57" s="4" t="s">
        <v>732</v>
      </c>
      <c r="D57" s="4" t="s">
        <v>1512</v>
      </c>
      <c r="G57" s="4" t="s">
        <v>733</v>
      </c>
      <c r="I57" s="4" t="s">
        <v>734</v>
      </c>
      <c r="J57" s="4" t="s">
        <v>735</v>
      </c>
      <c r="K57" s="4" t="s">
        <v>736</v>
      </c>
      <c r="L57" s="4" t="s">
        <v>737</v>
      </c>
      <c r="M57" s="4" t="s">
        <v>738</v>
      </c>
      <c r="N57" s="4" t="s">
        <v>739</v>
      </c>
      <c r="O57" s="4" t="s">
        <v>740</v>
      </c>
      <c r="P57" s="4" t="s">
        <v>741</v>
      </c>
    </row>
    <row r="58" spans="1:16" x14ac:dyDescent="0.25">
      <c r="A58" s="4" t="s">
        <v>19</v>
      </c>
      <c r="B58" s="4" t="s">
        <v>742</v>
      </c>
      <c r="C58" s="4" t="s">
        <v>743</v>
      </c>
      <c r="D58" s="4" t="s">
        <v>1513</v>
      </c>
      <c r="G58" s="4" t="s">
        <v>744</v>
      </c>
      <c r="I58" s="4" t="s">
        <v>745</v>
      </c>
      <c r="J58" s="4" t="s">
        <v>746</v>
      </c>
      <c r="K58" s="4" t="s">
        <v>747</v>
      </c>
      <c r="L58" s="4" t="s">
        <v>748</v>
      </c>
      <c r="M58" s="4" t="s">
        <v>749</v>
      </c>
      <c r="N58" s="4" t="s">
        <v>750</v>
      </c>
      <c r="O58" s="4" t="s">
        <v>751</v>
      </c>
      <c r="P58" s="4" t="s">
        <v>752</v>
      </c>
    </row>
    <row r="59" spans="1:16" x14ac:dyDescent="0.25">
      <c r="A59" s="4" t="s">
        <v>19</v>
      </c>
      <c r="B59" s="4" t="s">
        <v>1514</v>
      </c>
      <c r="C59" s="4" t="s">
        <v>1515</v>
      </c>
      <c r="D59" s="4" t="s">
        <v>1516</v>
      </c>
      <c r="G59" s="4" t="s">
        <v>1517</v>
      </c>
      <c r="I59" s="4" t="s">
        <v>1518</v>
      </c>
      <c r="J59" s="4" t="s">
        <v>1519</v>
      </c>
      <c r="K59" s="4" t="s">
        <v>1520</v>
      </c>
      <c r="L59" s="4" t="s">
        <v>1521</v>
      </c>
      <c r="M59" s="4" t="s">
        <v>1522</v>
      </c>
      <c r="N59" s="4" t="s">
        <v>1523</v>
      </c>
      <c r="O59" s="4" t="s">
        <v>1524</v>
      </c>
      <c r="P59" s="4" t="s">
        <v>1525</v>
      </c>
    </row>
    <row r="60" spans="1:16" x14ac:dyDescent="0.25">
      <c r="A60" s="4" t="s">
        <v>19</v>
      </c>
      <c r="B60" s="4" t="s">
        <v>1526</v>
      </c>
      <c r="C60" s="4" t="s">
        <v>1527</v>
      </c>
      <c r="D60" s="4" t="s">
        <v>1528</v>
      </c>
      <c r="G60" s="4" t="s">
        <v>1529</v>
      </c>
      <c r="I60" s="4" t="s">
        <v>1530</v>
      </c>
      <c r="J60" s="4" t="s">
        <v>1531</v>
      </c>
      <c r="K60" s="4" t="s">
        <v>1532</v>
      </c>
      <c r="L60" s="4" t="s">
        <v>1533</v>
      </c>
      <c r="M60" s="4" t="s">
        <v>1534</v>
      </c>
      <c r="N60" s="4" t="s">
        <v>1535</v>
      </c>
      <c r="O60" s="4" t="s">
        <v>1536</v>
      </c>
      <c r="P60" s="4" t="s">
        <v>1537</v>
      </c>
    </row>
    <row r="61" spans="1:16" x14ac:dyDescent="0.25">
      <c r="A61" s="4" t="s">
        <v>19</v>
      </c>
      <c r="B61" s="4" t="s">
        <v>1538</v>
      </c>
      <c r="C61" s="4" t="s">
        <v>1539</v>
      </c>
      <c r="D61" s="4" t="s">
        <v>1540</v>
      </c>
      <c r="G61" s="4" t="s">
        <v>1541</v>
      </c>
      <c r="I61" s="4" t="s">
        <v>1542</v>
      </c>
      <c r="J61" s="4" t="s">
        <v>1543</v>
      </c>
      <c r="K61" s="4" t="s">
        <v>1544</v>
      </c>
      <c r="L61" s="4" t="s">
        <v>1545</v>
      </c>
      <c r="M61" s="4" t="s">
        <v>1546</v>
      </c>
      <c r="N61" s="4" t="s">
        <v>1547</v>
      </c>
      <c r="O61" s="4" t="s">
        <v>1548</v>
      </c>
      <c r="P61" s="4" t="s">
        <v>1549</v>
      </c>
    </row>
    <row r="62" spans="1:16" x14ac:dyDescent="0.25">
      <c r="A62" s="4" t="s">
        <v>19</v>
      </c>
      <c r="B62" s="4" t="s">
        <v>1298</v>
      </c>
      <c r="C62" s="4" t="s">
        <v>1299</v>
      </c>
      <c r="D62" s="4" t="s">
        <v>1550</v>
      </c>
      <c r="G62" s="4" t="s">
        <v>1300</v>
      </c>
      <c r="I62" s="4" t="s">
        <v>1301</v>
      </c>
      <c r="J62" s="4" t="s">
        <v>1302</v>
      </c>
      <c r="K62" s="4" t="s">
        <v>1303</v>
      </c>
      <c r="L62" s="4" t="s">
        <v>1304</v>
      </c>
      <c r="M62" s="4" t="s">
        <v>1305</v>
      </c>
      <c r="N62" s="4" t="s">
        <v>1306</v>
      </c>
      <c r="O62" s="4" t="s">
        <v>1307</v>
      </c>
      <c r="P62" s="4" t="s">
        <v>1308</v>
      </c>
    </row>
    <row r="63" spans="1:16" x14ac:dyDescent="0.25">
      <c r="A63" s="4" t="s">
        <v>19</v>
      </c>
      <c r="B63" s="4" t="s">
        <v>1551</v>
      </c>
      <c r="C63" s="4" t="s">
        <v>1552</v>
      </c>
      <c r="D63" s="4" t="s">
        <v>1553</v>
      </c>
      <c r="G63" s="4" t="s">
        <v>1554</v>
      </c>
      <c r="I63" s="4" t="s">
        <v>1555</v>
      </c>
      <c r="J63" s="4" t="s">
        <v>1556</v>
      </c>
      <c r="K63" s="4" t="s">
        <v>1557</v>
      </c>
      <c r="L63" s="4" t="s">
        <v>1558</v>
      </c>
      <c r="M63" s="4" t="s">
        <v>1559</v>
      </c>
      <c r="N63" s="4" t="s">
        <v>1560</v>
      </c>
      <c r="O63" s="4" t="s">
        <v>1561</v>
      </c>
      <c r="P63" s="4" t="s">
        <v>1562</v>
      </c>
    </row>
    <row r="64" spans="1:16" x14ac:dyDescent="0.25">
      <c r="A64" s="4" t="s">
        <v>19</v>
      </c>
      <c r="B64" s="4" t="s">
        <v>1563</v>
      </c>
      <c r="C64" s="4" t="s">
        <v>1564</v>
      </c>
      <c r="D64" s="4" t="s">
        <v>1565</v>
      </c>
      <c r="G64" s="4" t="s">
        <v>1566</v>
      </c>
      <c r="I64" s="4" t="s">
        <v>1567</v>
      </c>
      <c r="J64" s="4" t="s">
        <v>1568</v>
      </c>
      <c r="K64" s="4" t="s">
        <v>1569</v>
      </c>
      <c r="L64" s="4" t="s">
        <v>1570</v>
      </c>
      <c r="M64" s="4" t="s">
        <v>1571</v>
      </c>
      <c r="N64" s="4" t="s">
        <v>1572</v>
      </c>
      <c r="O64" s="4" t="s">
        <v>1573</v>
      </c>
      <c r="P64" s="4" t="s">
        <v>1574</v>
      </c>
    </row>
    <row r="65" spans="1:16" x14ac:dyDescent="0.25">
      <c r="A65" s="4" t="s">
        <v>19</v>
      </c>
      <c r="B65" s="4" t="s">
        <v>1575</v>
      </c>
      <c r="C65" s="4" t="s">
        <v>1576</v>
      </c>
      <c r="D65" s="4" t="s">
        <v>1577</v>
      </c>
      <c r="G65" s="4" t="s">
        <v>1578</v>
      </c>
      <c r="I65" s="4" t="s">
        <v>1579</v>
      </c>
      <c r="J65" s="4" t="s">
        <v>1580</v>
      </c>
      <c r="K65" s="4" t="s">
        <v>1581</v>
      </c>
      <c r="L65" s="4" t="s">
        <v>1582</v>
      </c>
      <c r="M65" s="4" t="s">
        <v>1583</v>
      </c>
      <c r="N65" s="4" t="s">
        <v>1584</v>
      </c>
      <c r="O65" s="4" t="s">
        <v>1585</v>
      </c>
      <c r="P65" s="4" t="s">
        <v>1586</v>
      </c>
    </row>
    <row r="66" spans="1:16" x14ac:dyDescent="0.25">
      <c r="A66" s="4" t="s">
        <v>19</v>
      </c>
      <c r="B66" s="4" t="s">
        <v>907</v>
      </c>
      <c r="C66" s="4" t="s">
        <v>908</v>
      </c>
      <c r="D66" s="4" t="s">
        <v>1587</v>
      </c>
      <c r="G66" s="4" t="s">
        <v>909</v>
      </c>
      <c r="I66" s="4" t="s">
        <v>910</v>
      </c>
      <c r="J66" s="4" t="s">
        <v>911</v>
      </c>
      <c r="K66" s="4" t="s">
        <v>912</v>
      </c>
      <c r="L66" s="4" t="s">
        <v>913</v>
      </c>
      <c r="M66" s="4" t="s">
        <v>914</v>
      </c>
      <c r="N66" s="4" t="s">
        <v>915</v>
      </c>
      <c r="O66" s="4" t="s">
        <v>916</v>
      </c>
      <c r="P66" s="4" t="s">
        <v>917</v>
      </c>
    </row>
    <row r="67" spans="1:16" x14ac:dyDescent="0.25">
      <c r="A67" s="4" t="s">
        <v>19</v>
      </c>
      <c r="B67" s="4" t="s">
        <v>1309</v>
      </c>
      <c r="C67" s="4" t="s">
        <v>1310</v>
      </c>
      <c r="D67" s="4" t="s">
        <v>1588</v>
      </c>
      <c r="G67" s="4" t="s">
        <v>1311</v>
      </c>
      <c r="I67" s="4" t="s">
        <v>1312</v>
      </c>
      <c r="J67" s="4" t="s">
        <v>1313</v>
      </c>
      <c r="K67" s="4" t="s">
        <v>1314</v>
      </c>
      <c r="L67" s="4" t="s">
        <v>1315</v>
      </c>
      <c r="M67" s="4" t="s">
        <v>1316</v>
      </c>
      <c r="N67" s="4" t="s">
        <v>1317</v>
      </c>
      <c r="O67" s="4" t="s">
        <v>1318</v>
      </c>
      <c r="P67" s="4" t="s">
        <v>1319</v>
      </c>
    </row>
    <row r="68" spans="1:16" x14ac:dyDescent="0.25">
      <c r="A68" s="4" t="s">
        <v>19</v>
      </c>
      <c r="B68" s="4" t="s">
        <v>1320</v>
      </c>
      <c r="C68" s="4" t="s">
        <v>1321</v>
      </c>
      <c r="D68" s="4" t="s">
        <v>1589</v>
      </c>
      <c r="G68" s="4" t="s">
        <v>1322</v>
      </c>
      <c r="I68" s="4" t="s">
        <v>1323</v>
      </c>
      <c r="J68" s="4" t="s">
        <v>1324</v>
      </c>
      <c r="K68" s="4" t="s">
        <v>1325</v>
      </c>
      <c r="L68" s="4" t="s">
        <v>1326</v>
      </c>
      <c r="M68" s="4" t="s">
        <v>1327</v>
      </c>
      <c r="N68" s="4" t="s">
        <v>1328</v>
      </c>
      <c r="O68" s="4" t="s">
        <v>1329</v>
      </c>
      <c r="P68" s="4" t="s">
        <v>1330</v>
      </c>
    </row>
    <row r="69" spans="1:16" x14ac:dyDescent="0.25">
      <c r="A69" s="4" t="s">
        <v>19</v>
      </c>
      <c r="B69" s="4" t="s">
        <v>1331</v>
      </c>
      <c r="C69" s="4" t="s">
        <v>1332</v>
      </c>
      <c r="D69" s="4" t="s">
        <v>1590</v>
      </c>
      <c r="G69" s="4" t="s">
        <v>1333</v>
      </c>
      <c r="I69" s="4" t="s">
        <v>1334</v>
      </c>
      <c r="J69" s="4" t="s">
        <v>1335</v>
      </c>
      <c r="K69" s="4" t="s">
        <v>1336</v>
      </c>
      <c r="L69" s="4" t="s">
        <v>1337</v>
      </c>
      <c r="M69" s="4" t="s">
        <v>1338</v>
      </c>
      <c r="N69" s="4" t="s">
        <v>1339</v>
      </c>
      <c r="O69" s="4" t="s">
        <v>1340</v>
      </c>
      <c r="P69" s="4" t="s">
        <v>1341</v>
      </c>
    </row>
    <row r="70" spans="1:16" x14ac:dyDescent="0.25">
      <c r="A70" s="4" t="s">
        <v>19</v>
      </c>
      <c r="B70" s="4" t="s">
        <v>841</v>
      </c>
      <c r="C70" s="4" t="s">
        <v>842</v>
      </c>
      <c r="D70" s="4" t="s">
        <v>1591</v>
      </c>
      <c r="G70" s="4" t="s">
        <v>843</v>
      </c>
      <c r="I70" s="4" t="s">
        <v>844</v>
      </c>
      <c r="J70" s="4" t="s">
        <v>845</v>
      </c>
      <c r="K70" s="4" t="s">
        <v>846</v>
      </c>
      <c r="L70" s="4" t="s">
        <v>847</v>
      </c>
      <c r="M70" s="4" t="s">
        <v>848</v>
      </c>
      <c r="N70" s="4" t="s">
        <v>849</v>
      </c>
      <c r="O70" s="4" t="s">
        <v>850</v>
      </c>
      <c r="P70" s="4" t="s">
        <v>851</v>
      </c>
    </row>
    <row r="71" spans="1:16" x14ac:dyDescent="0.25">
      <c r="A71" s="4" t="s">
        <v>19</v>
      </c>
      <c r="B71" s="4" t="s">
        <v>852</v>
      </c>
      <c r="C71" s="4" t="s">
        <v>853</v>
      </c>
      <c r="D71" s="4" t="s">
        <v>1592</v>
      </c>
      <c r="G71" s="4" t="s">
        <v>854</v>
      </c>
      <c r="I71" s="4" t="s">
        <v>855</v>
      </c>
      <c r="J71" s="4" t="s">
        <v>856</v>
      </c>
      <c r="K71" s="4" t="s">
        <v>857</v>
      </c>
      <c r="L71" s="4" t="s">
        <v>858</v>
      </c>
      <c r="M71" s="4" t="s">
        <v>859</v>
      </c>
      <c r="N71" s="4" t="s">
        <v>860</v>
      </c>
      <c r="O71" s="4" t="s">
        <v>861</v>
      </c>
      <c r="P71" s="4" t="s">
        <v>862</v>
      </c>
    </row>
    <row r="72" spans="1:16" x14ac:dyDescent="0.25">
      <c r="A72" s="4" t="s">
        <v>19</v>
      </c>
      <c r="B72" s="4" t="s">
        <v>1062</v>
      </c>
      <c r="C72" s="4" t="s">
        <v>1063</v>
      </c>
      <c r="D72" s="4" t="s">
        <v>1593</v>
      </c>
      <c r="G72" s="4" t="s">
        <v>1064</v>
      </c>
      <c r="I72" s="4" t="s">
        <v>1065</v>
      </c>
      <c r="J72" s="4" t="s">
        <v>1066</v>
      </c>
      <c r="K72" s="4" t="s">
        <v>1067</v>
      </c>
      <c r="L72" s="4" t="s">
        <v>1068</v>
      </c>
      <c r="M72" s="4" t="s">
        <v>1069</v>
      </c>
      <c r="N72" s="4" t="s">
        <v>1070</v>
      </c>
      <c r="O72" s="4" t="s">
        <v>1071</v>
      </c>
      <c r="P72" s="4" t="s">
        <v>1072</v>
      </c>
    </row>
    <row r="73" spans="1:16" x14ac:dyDescent="0.25">
      <c r="A73" s="4" t="s">
        <v>19</v>
      </c>
      <c r="B73" s="4" t="s">
        <v>1073</v>
      </c>
      <c r="C73" s="4" t="s">
        <v>1074</v>
      </c>
      <c r="D73" s="4" t="s">
        <v>1594</v>
      </c>
      <c r="G73" s="4" t="s">
        <v>1075</v>
      </c>
      <c r="I73" s="4" t="s">
        <v>1076</v>
      </c>
      <c r="J73" s="4" t="s">
        <v>1077</v>
      </c>
      <c r="K73" s="4" t="s">
        <v>1078</v>
      </c>
      <c r="L73" s="4" t="s">
        <v>1079</v>
      </c>
      <c r="M73" s="4" t="s">
        <v>1080</v>
      </c>
      <c r="N73" s="4" t="s">
        <v>1081</v>
      </c>
      <c r="O73" s="4" t="s">
        <v>1082</v>
      </c>
      <c r="P73" s="4" t="s">
        <v>1083</v>
      </c>
    </row>
    <row r="74" spans="1:16" x14ac:dyDescent="0.25">
      <c r="A74" s="4" t="s">
        <v>19</v>
      </c>
      <c r="B74" s="4" t="s">
        <v>720</v>
      </c>
    </row>
    <row r="75" spans="1:16" x14ac:dyDescent="0.25">
      <c r="A75" s="4" t="s">
        <v>19</v>
      </c>
      <c r="B75" s="4" t="s">
        <v>720</v>
      </c>
    </row>
    <row r="76" spans="1:16" x14ac:dyDescent="0.25">
      <c r="A76" s="4" t="s">
        <v>19</v>
      </c>
      <c r="B76" s="4" t="s">
        <v>1342</v>
      </c>
      <c r="C76" s="4" t="s">
        <v>1595</v>
      </c>
      <c r="D76" s="4" t="s">
        <v>1596</v>
      </c>
      <c r="E76" s="4" t="s">
        <v>1597</v>
      </c>
      <c r="G76" s="4" t="s">
        <v>1598</v>
      </c>
    </row>
    <row r="77" spans="1:16" x14ac:dyDescent="0.25">
      <c r="A77" s="4" t="s">
        <v>19</v>
      </c>
      <c r="B77" s="4" t="s">
        <v>1342</v>
      </c>
      <c r="C77" s="4" t="s">
        <v>1343</v>
      </c>
      <c r="D77" s="4" t="s">
        <v>1599</v>
      </c>
      <c r="G77" s="4" t="s">
        <v>1344</v>
      </c>
      <c r="I77" s="4" t="s">
        <v>1345</v>
      </c>
      <c r="J77" s="4" t="s">
        <v>1346</v>
      </c>
      <c r="K77" s="4" t="s">
        <v>1347</v>
      </c>
      <c r="L77" s="4" t="s">
        <v>1348</v>
      </c>
      <c r="M77" s="4" t="s">
        <v>1349</v>
      </c>
      <c r="N77" s="4" t="s">
        <v>1350</v>
      </c>
      <c r="O77" s="4" t="s">
        <v>1351</v>
      </c>
      <c r="P77" s="4" t="s">
        <v>1352</v>
      </c>
    </row>
    <row r="78" spans="1:16" x14ac:dyDescent="0.25">
      <c r="A78" s="4" t="s">
        <v>19</v>
      </c>
      <c r="B78" s="4" t="s">
        <v>1342</v>
      </c>
    </row>
    <row r="79" spans="1:16" x14ac:dyDescent="0.25">
      <c r="A79" s="4" t="s">
        <v>19</v>
      </c>
      <c r="B79" s="4" t="s">
        <v>1342</v>
      </c>
    </row>
    <row r="80" spans="1:16" x14ac:dyDescent="0.25">
      <c r="A80" s="4" t="s">
        <v>19</v>
      </c>
      <c r="B80" s="4" t="s">
        <v>1128</v>
      </c>
      <c r="C80" s="4" t="s">
        <v>1600</v>
      </c>
      <c r="D80" s="4" t="s">
        <v>620</v>
      </c>
      <c r="E80" s="4" t="s">
        <v>1601</v>
      </c>
      <c r="G80" s="4" t="s">
        <v>1602</v>
      </c>
    </row>
    <row r="81" spans="1:16" x14ac:dyDescent="0.25">
      <c r="A81" s="4" t="s">
        <v>19</v>
      </c>
      <c r="B81" s="4" t="s">
        <v>1128</v>
      </c>
      <c r="C81" s="4" t="s">
        <v>1129</v>
      </c>
      <c r="D81" s="4" t="s">
        <v>1603</v>
      </c>
      <c r="G81" s="4" t="s">
        <v>1130</v>
      </c>
      <c r="I81" s="4" t="s">
        <v>1131</v>
      </c>
      <c r="J81" s="4" t="s">
        <v>1132</v>
      </c>
      <c r="K81" s="4" t="s">
        <v>1133</v>
      </c>
      <c r="L81" s="4" t="s">
        <v>1134</v>
      </c>
      <c r="M81" s="4" t="s">
        <v>1135</v>
      </c>
      <c r="N81" s="4" t="s">
        <v>1136</v>
      </c>
      <c r="O81" s="4" t="s">
        <v>1137</v>
      </c>
      <c r="P81" s="4" t="s">
        <v>1138</v>
      </c>
    </row>
    <row r="82" spans="1:16" x14ac:dyDescent="0.25">
      <c r="A82" s="4" t="s">
        <v>19</v>
      </c>
      <c r="B82" s="4" t="s">
        <v>1139</v>
      </c>
      <c r="C82" s="4" t="s">
        <v>1140</v>
      </c>
      <c r="D82" s="4" t="s">
        <v>1604</v>
      </c>
      <c r="G82" s="4" t="s">
        <v>1141</v>
      </c>
      <c r="I82" s="4" t="s">
        <v>1142</v>
      </c>
      <c r="J82" s="4" t="s">
        <v>1143</v>
      </c>
      <c r="K82" s="4" t="s">
        <v>1144</v>
      </c>
      <c r="L82" s="4" t="s">
        <v>1145</v>
      </c>
      <c r="M82" s="4" t="s">
        <v>1146</v>
      </c>
      <c r="N82" s="4" t="s">
        <v>1147</v>
      </c>
      <c r="O82" s="4" t="s">
        <v>1148</v>
      </c>
      <c r="P82" s="4" t="s">
        <v>1149</v>
      </c>
    </row>
    <row r="83" spans="1:16" x14ac:dyDescent="0.25">
      <c r="A83" s="4" t="s">
        <v>19</v>
      </c>
      <c r="B83" s="4" t="s">
        <v>1150</v>
      </c>
      <c r="C83" s="4" t="s">
        <v>1151</v>
      </c>
      <c r="D83" s="4" t="s">
        <v>1434</v>
      </c>
      <c r="G83" s="4" t="s">
        <v>1152</v>
      </c>
      <c r="I83" s="4" t="s">
        <v>1153</v>
      </c>
      <c r="J83" s="4" t="s">
        <v>1154</v>
      </c>
      <c r="K83" s="4" t="s">
        <v>1155</v>
      </c>
      <c r="L83" s="4" t="s">
        <v>1156</v>
      </c>
      <c r="M83" s="4" t="s">
        <v>1157</v>
      </c>
      <c r="N83" s="4" t="s">
        <v>1158</v>
      </c>
      <c r="O83" s="4" t="s">
        <v>1159</v>
      </c>
      <c r="P83" s="4" t="s">
        <v>1160</v>
      </c>
    </row>
    <row r="84" spans="1:16" x14ac:dyDescent="0.25">
      <c r="A84" s="4" t="s">
        <v>19</v>
      </c>
      <c r="B84" s="4" t="s">
        <v>1128</v>
      </c>
    </row>
    <row r="85" spans="1:16" x14ac:dyDescent="0.25">
      <c r="A85" s="4" t="s">
        <v>19</v>
      </c>
      <c r="B85" s="4" t="s">
        <v>1128</v>
      </c>
    </row>
    <row r="86" spans="1:16" x14ac:dyDescent="0.25">
      <c r="A86" s="4" t="s">
        <v>19</v>
      </c>
      <c r="B86" s="4" t="s">
        <v>1161</v>
      </c>
      <c r="C86" s="4" t="s">
        <v>1605</v>
      </c>
      <c r="D86" s="4" t="s">
        <v>1435</v>
      </c>
      <c r="E86" s="4" t="s">
        <v>1606</v>
      </c>
      <c r="G86" s="4" t="s">
        <v>1607</v>
      </c>
    </row>
    <row r="87" spans="1:16" x14ac:dyDescent="0.25">
      <c r="A87" s="4" t="s">
        <v>19</v>
      </c>
      <c r="B87" s="4" t="s">
        <v>1161</v>
      </c>
      <c r="C87" s="4" t="s">
        <v>1162</v>
      </c>
      <c r="D87" s="4" t="s">
        <v>1608</v>
      </c>
      <c r="G87" s="4" t="s">
        <v>1163</v>
      </c>
      <c r="I87" s="4" t="s">
        <v>1164</v>
      </c>
      <c r="J87" s="4" t="s">
        <v>1165</v>
      </c>
      <c r="K87" s="4" t="s">
        <v>1166</v>
      </c>
      <c r="L87" s="4" t="s">
        <v>1167</v>
      </c>
      <c r="M87" s="4" t="s">
        <v>1168</v>
      </c>
      <c r="N87" s="4" t="s">
        <v>1169</v>
      </c>
      <c r="O87" s="4" t="s">
        <v>1170</v>
      </c>
      <c r="P87" s="4" t="s">
        <v>1171</v>
      </c>
    </row>
    <row r="88" spans="1:16" x14ac:dyDescent="0.25">
      <c r="A88" s="4" t="s">
        <v>19</v>
      </c>
      <c r="B88" s="4" t="s">
        <v>1161</v>
      </c>
    </row>
    <row r="89" spans="1:16" x14ac:dyDescent="0.25">
      <c r="A89" s="4" t="s">
        <v>19</v>
      </c>
      <c r="B89" s="4" t="s">
        <v>1161</v>
      </c>
    </row>
    <row r="90" spans="1:16" x14ac:dyDescent="0.25">
      <c r="A90" s="4" t="s">
        <v>19</v>
      </c>
      <c r="B90" s="4" t="s">
        <v>753</v>
      </c>
      <c r="C90" s="4" t="s">
        <v>1609</v>
      </c>
      <c r="D90" s="4" t="s">
        <v>1610</v>
      </c>
      <c r="E90" s="4" t="s">
        <v>1611</v>
      </c>
      <c r="G90" s="4" t="s">
        <v>1612</v>
      </c>
    </row>
    <row r="91" spans="1:16" x14ac:dyDescent="0.25">
      <c r="A91" s="4" t="s">
        <v>19</v>
      </c>
      <c r="B91" s="4" t="s">
        <v>753</v>
      </c>
      <c r="C91" s="4" t="s">
        <v>754</v>
      </c>
      <c r="D91" s="4" t="s">
        <v>1613</v>
      </c>
      <c r="G91" s="4" t="s">
        <v>755</v>
      </c>
      <c r="I91" s="4" t="s">
        <v>756</v>
      </c>
      <c r="J91" s="4" t="s">
        <v>757</v>
      </c>
      <c r="K91" s="4" t="s">
        <v>758</v>
      </c>
      <c r="L91" s="4" t="s">
        <v>759</v>
      </c>
      <c r="M91" s="4" t="s">
        <v>760</v>
      </c>
      <c r="N91" s="4" t="s">
        <v>761</v>
      </c>
      <c r="O91" s="4" t="s">
        <v>762</v>
      </c>
      <c r="P91" s="4" t="s">
        <v>763</v>
      </c>
    </row>
    <row r="92" spans="1:16" x14ac:dyDescent="0.25">
      <c r="A92" s="4" t="s">
        <v>19</v>
      </c>
      <c r="B92" s="4" t="s">
        <v>1614</v>
      </c>
      <c r="C92" s="4" t="s">
        <v>1615</v>
      </c>
      <c r="D92" s="4" t="s">
        <v>1616</v>
      </c>
      <c r="G92" s="4" t="s">
        <v>1617</v>
      </c>
      <c r="I92" s="4" t="s">
        <v>1618</v>
      </c>
      <c r="J92" s="4" t="s">
        <v>1619</v>
      </c>
      <c r="K92" s="4" t="s">
        <v>1620</v>
      </c>
      <c r="L92" s="4" t="s">
        <v>1621</v>
      </c>
      <c r="M92" s="4" t="s">
        <v>1622</v>
      </c>
      <c r="N92" s="4" t="s">
        <v>1623</v>
      </c>
      <c r="O92" s="4" t="s">
        <v>1624</v>
      </c>
      <c r="P92" s="4" t="s">
        <v>1625</v>
      </c>
    </row>
    <row r="93" spans="1:16" x14ac:dyDescent="0.25">
      <c r="A93" s="4" t="s">
        <v>19</v>
      </c>
      <c r="B93" s="4" t="s">
        <v>1626</v>
      </c>
      <c r="C93" s="4" t="s">
        <v>1627</v>
      </c>
      <c r="D93" s="4" t="s">
        <v>1628</v>
      </c>
      <c r="G93" s="4" t="s">
        <v>1629</v>
      </c>
      <c r="I93" s="4" t="s">
        <v>1630</v>
      </c>
      <c r="J93" s="4" t="s">
        <v>1631</v>
      </c>
      <c r="K93" s="4" t="s">
        <v>1632</v>
      </c>
      <c r="L93" s="4" t="s">
        <v>1633</v>
      </c>
      <c r="M93" s="4" t="s">
        <v>1634</v>
      </c>
      <c r="N93" s="4" t="s">
        <v>1635</v>
      </c>
      <c r="O93" s="4" t="s">
        <v>1636</v>
      </c>
      <c r="P93" s="4" t="s">
        <v>1637</v>
      </c>
    </row>
    <row r="94" spans="1:16" x14ac:dyDescent="0.25">
      <c r="A94" s="4" t="s">
        <v>19</v>
      </c>
      <c r="B94" s="4" t="s">
        <v>753</v>
      </c>
    </row>
    <row r="95" spans="1:16" x14ac:dyDescent="0.25">
      <c r="A95" s="4" t="s">
        <v>19</v>
      </c>
      <c r="B95" s="4" t="s">
        <v>753</v>
      </c>
    </row>
    <row r="96" spans="1:16" x14ac:dyDescent="0.25">
      <c r="A96" s="4" t="s">
        <v>19</v>
      </c>
      <c r="B96" s="4" t="s">
        <v>1084</v>
      </c>
      <c r="C96" s="4" t="s">
        <v>1638</v>
      </c>
      <c r="D96" s="4" t="s">
        <v>1639</v>
      </c>
      <c r="E96" s="4" t="s">
        <v>1640</v>
      </c>
      <c r="G96" s="4" t="s">
        <v>1641</v>
      </c>
    </row>
    <row r="97" spans="1:16" x14ac:dyDescent="0.25">
      <c r="A97" s="4" t="s">
        <v>19</v>
      </c>
      <c r="B97" s="4" t="s">
        <v>1084</v>
      </c>
      <c r="C97" s="4" t="s">
        <v>1085</v>
      </c>
      <c r="D97" s="4" t="s">
        <v>1642</v>
      </c>
      <c r="G97" s="4" t="s">
        <v>1086</v>
      </c>
      <c r="I97" s="4" t="s">
        <v>1087</v>
      </c>
      <c r="J97" s="4" t="s">
        <v>1088</v>
      </c>
      <c r="K97" s="4" t="s">
        <v>1089</v>
      </c>
      <c r="L97" s="4" t="s">
        <v>1090</v>
      </c>
      <c r="M97" s="4" t="s">
        <v>1091</v>
      </c>
      <c r="N97" s="4" t="s">
        <v>1092</v>
      </c>
      <c r="O97" s="4" t="s">
        <v>1093</v>
      </c>
      <c r="P97" s="4" t="s">
        <v>1094</v>
      </c>
    </row>
    <row r="98" spans="1:16" x14ac:dyDescent="0.25">
      <c r="A98" s="4" t="s">
        <v>19</v>
      </c>
      <c r="B98" s="4" t="s">
        <v>1084</v>
      </c>
    </row>
    <row r="99" spans="1:16" x14ac:dyDescent="0.25">
      <c r="A99" s="4" t="s">
        <v>19</v>
      </c>
      <c r="B99" s="4" t="s">
        <v>1084</v>
      </c>
    </row>
    <row r="100" spans="1:16" x14ac:dyDescent="0.25">
      <c r="A100" s="4" t="s">
        <v>19</v>
      </c>
      <c r="B100" s="4" t="s">
        <v>1095</v>
      </c>
      <c r="C100" s="4" t="s">
        <v>1353</v>
      </c>
      <c r="D100" s="4" t="s">
        <v>1436</v>
      </c>
      <c r="E100" s="4" t="s">
        <v>1354</v>
      </c>
      <c r="G100" s="4" t="s">
        <v>1355</v>
      </c>
    </row>
    <row r="101" spans="1:16" x14ac:dyDescent="0.25">
      <c r="A101" s="4" t="s">
        <v>19</v>
      </c>
      <c r="B101" s="4" t="s">
        <v>1095</v>
      </c>
      <c r="C101" s="4" t="s">
        <v>1096</v>
      </c>
      <c r="D101" s="4" t="s">
        <v>1356</v>
      </c>
      <c r="G101" s="4" t="s">
        <v>1097</v>
      </c>
      <c r="I101" s="4" t="s">
        <v>1098</v>
      </c>
      <c r="J101" s="4" t="s">
        <v>1099</v>
      </c>
      <c r="K101" s="4" t="s">
        <v>1100</v>
      </c>
      <c r="L101" s="4" t="s">
        <v>1101</v>
      </c>
      <c r="M101" s="4" t="s">
        <v>1102</v>
      </c>
      <c r="N101" s="4" t="s">
        <v>1103</v>
      </c>
      <c r="O101" s="4" t="s">
        <v>1104</v>
      </c>
      <c r="P101" s="4" t="s">
        <v>1105</v>
      </c>
    </row>
    <row r="102" spans="1:16" x14ac:dyDescent="0.25">
      <c r="A102" s="4" t="s">
        <v>19</v>
      </c>
      <c r="B102" s="4" t="s">
        <v>1106</v>
      </c>
      <c r="C102" s="4" t="s">
        <v>1107</v>
      </c>
      <c r="D102" s="4" t="s">
        <v>1643</v>
      </c>
      <c r="G102" s="4" t="s">
        <v>1108</v>
      </c>
      <c r="I102" s="4" t="s">
        <v>1109</v>
      </c>
      <c r="J102" s="4" t="s">
        <v>1110</v>
      </c>
      <c r="K102" s="4" t="s">
        <v>1111</v>
      </c>
      <c r="L102" s="4" t="s">
        <v>1112</v>
      </c>
      <c r="M102" s="4" t="s">
        <v>1113</v>
      </c>
      <c r="N102" s="4" t="s">
        <v>1114</v>
      </c>
      <c r="O102" s="4" t="s">
        <v>1115</v>
      </c>
      <c r="P102" s="4" t="s">
        <v>1116</v>
      </c>
    </row>
    <row r="103" spans="1:16" x14ac:dyDescent="0.25">
      <c r="A103" s="4" t="s">
        <v>19</v>
      </c>
      <c r="B103" s="4" t="s">
        <v>1644</v>
      </c>
      <c r="C103" s="4" t="s">
        <v>1645</v>
      </c>
      <c r="D103" s="4" t="s">
        <v>1646</v>
      </c>
      <c r="G103" s="4" t="s">
        <v>1647</v>
      </c>
      <c r="I103" s="4" t="s">
        <v>1648</v>
      </c>
      <c r="J103" s="4" t="s">
        <v>1649</v>
      </c>
      <c r="K103" s="4" t="s">
        <v>1650</v>
      </c>
      <c r="L103" s="4" t="s">
        <v>1651</v>
      </c>
      <c r="M103" s="4" t="s">
        <v>1652</v>
      </c>
      <c r="N103" s="4" t="s">
        <v>1653</v>
      </c>
      <c r="O103" s="4" t="s">
        <v>1654</v>
      </c>
      <c r="P103" s="4" t="s">
        <v>1655</v>
      </c>
    </row>
    <row r="104" spans="1:16" x14ac:dyDescent="0.25">
      <c r="A104" s="4" t="s">
        <v>19</v>
      </c>
      <c r="B104" s="4" t="s">
        <v>1656</v>
      </c>
      <c r="C104" s="4" t="s">
        <v>1657</v>
      </c>
      <c r="D104" s="4" t="s">
        <v>1658</v>
      </c>
      <c r="G104" s="4" t="s">
        <v>1659</v>
      </c>
      <c r="I104" s="4" t="s">
        <v>1660</v>
      </c>
      <c r="J104" s="4" t="s">
        <v>1661</v>
      </c>
      <c r="K104" s="4" t="s">
        <v>1662</v>
      </c>
      <c r="L104" s="4" t="s">
        <v>1663</v>
      </c>
      <c r="M104" s="4" t="s">
        <v>1664</v>
      </c>
      <c r="N104" s="4" t="s">
        <v>1665</v>
      </c>
      <c r="O104" s="4" t="s">
        <v>1666</v>
      </c>
      <c r="P104" s="4" t="s">
        <v>1667</v>
      </c>
    </row>
    <row r="105" spans="1:16" x14ac:dyDescent="0.25">
      <c r="A105" s="4" t="s">
        <v>19</v>
      </c>
      <c r="B105" s="4" t="s">
        <v>1668</v>
      </c>
      <c r="C105" s="4" t="s">
        <v>1669</v>
      </c>
      <c r="D105" s="4" t="s">
        <v>1670</v>
      </c>
      <c r="G105" s="4" t="s">
        <v>1671</v>
      </c>
      <c r="I105" s="4" t="s">
        <v>1672</v>
      </c>
      <c r="J105" s="4" t="s">
        <v>1673</v>
      </c>
      <c r="K105" s="4" t="s">
        <v>1674</v>
      </c>
      <c r="L105" s="4" t="s">
        <v>1675</v>
      </c>
      <c r="M105" s="4" t="s">
        <v>1676</v>
      </c>
      <c r="N105" s="4" t="s">
        <v>1677</v>
      </c>
      <c r="O105" s="4" t="s">
        <v>1678</v>
      </c>
      <c r="P105" s="4" t="s">
        <v>1679</v>
      </c>
    </row>
    <row r="106" spans="1:16" x14ac:dyDescent="0.25">
      <c r="A106" s="4" t="s">
        <v>19</v>
      </c>
      <c r="B106" s="4" t="s">
        <v>539</v>
      </c>
      <c r="C106" s="4" t="s">
        <v>540</v>
      </c>
      <c r="D106" s="4" t="s">
        <v>1680</v>
      </c>
      <c r="G106" s="4" t="s">
        <v>541</v>
      </c>
      <c r="I106" s="4" t="s">
        <v>542</v>
      </c>
      <c r="J106" s="4" t="s">
        <v>543</v>
      </c>
      <c r="K106" s="4" t="s">
        <v>544</v>
      </c>
      <c r="L106" s="4" t="s">
        <v>643</v>
      </c>
      <c r="M106" s="4" t="s">
        <v>644</v>
      </c>
      <c r="N106" s="4" t="s">
        <v>545</v>
      </c>
      <c r="O106" s="4" t="s">
        <v>546</v>
      </c>
      <c r="P106" s="4" t="s">
        <v>547</v>
      </c>
    </row>
    <row r="107" spans="1:16" x14ac:dyDescent="0.25">
      <c r="A107" s="4" t="s">
        <v>19</v>
      </c>
      <c r="B107" s="4" t="s">
        <v>548</v>
      </c>
      <c r="C107" s="4" t="s">
        <v>549</v>
      </c>
      <c r="D107" s="4" t="s">
        <v>1681</v>
      </c>
      <c r="G107" s="4" t="s">
        <v>550</v>
      </c>
      <c r="I107" s="4" t="s">
        <v>551</v>
      </c>
      <c r="J107" s="4" t="s">
        <v>552</v>
      </c>
      <c r="K107" s="4" t="s">
        <v>553</v>
      </c>
      <c r="L107" s="4" t="s">
        <v>645</v>
      </c>
      <c r="M107" s="4" t="s">
        <v>646</v>
      </c>
      <c r="N107" s="4" t="s">
        <v>554</v>
      </c>
      <c r="O107" s="4" t="s">
        <v>555</v>
      </c>
      <c r="P107" s="4" t="s">
        <v>556</v>
      </c>
    </row>
    <row r="108" spans="1:16" x14ac:dyDescent="0.25">
      <c r="A108" s="4" t="s">
        <v>19</v>
      </c>
      <c r="B108" s="4" t="s">
        <v>664</v>
      </c>
      <c r="C108" s="4" t="s">
        <v>665</v>
      </c>
      <c r="D108" s="4" t="s">
        <v>1682</v>
      </c>
      <c r="G108" s="4" t="s">
        <v>666</v>
      </c>
      <c r="I108" s="4" t="s">
        <v>667</v>
      </c>
      <c r="J108" s="4" t="s">
        <v>668</v>
      </c>
      <c r="K108" s="4" t="s">
        <v>669</v>
      </c>
      <c r="L108" s="4" t="s">
        <v>670</v>
      </c>
      <c r="M108" s="4" t="s">
        <v>671</v>
      </c>
      <c r="N108" s="4" t="s">
        <v>672</v>
      </c>
      <c r="O108" s="4" t="s">
        <v>673</v>
      </c>
      <c r="P108" s="4" t="s">
        <v>674</v>
      </c>
    </row>
    <row r="109" spans="1:16" x14ac:dyDescent="0.25">
      <c r="A109" s="4" t="s">
        <v>19</v>
      </c>
      <c r="B109" s="4" t="s">
        <v>1172</v>
      </c>
      <c r="C109" s="4" t="s">
        <v>1173</v>
      </c>
      <c r="D109" s="4" t="s">
        <v>1683</v>
      </c>
      <c r="G109" s="4" t="s">
        <v>1174</v>
      </c>
      <c r="I109" s="4" t="s">
        <v>1175</v>
      </c>
      <c r="J109" s="4" t="s">
        <v>1176</v>
      </c>
      <c r="K109" s="4" t="s">
        <v>1177</v>
      </c>
      <c r="L109" s="4" t="s">
        <v>1178</v>
      </c>
      <c r="M109" s="4" t="s">
        <v>1179</v>
      </c>
      <c r="N109" s="4" t="s">
        <v>1180</v>
      </c>
      <c r="O109" s="4" t="s">
        <v>1181</v>
      </c>
      <c r="P109" s="4" t="s">
        <v>1182</v>
      </c>
    </row>
    <row r="110" spans="1:16" x14ac:dyDescent="0.25">
      <c r="A110" s="4" t="s">
        <v>19</v>
      </c>
      <c r="B110" s="4" t="s">
        <v>1183</v>
      </c>
      <c r="C110" s="4" t="s">
        <v>1184</v>
      </c>
      <c r="D110" s="4" t="s">
        <v>1684</v>
      </c>
      <c r="G110" s="4" t="s">
        <v>1185</v>
      </c>
      <c r="I110" s="4" t="s">
        <v>1186</v>
      </c>
      <c r="J110" s="4" t="s">
        <v>1187</v>
      </c>
      <c r="K110" s="4" t="s">
        <v>1188</v>
      </c>
      <c r="L110" s="4" t="s">
        <v>1189</v>
      </c>
      <c r="M110" s="4" t="s">
        <v>1190</v>
      </c>
      <c r="N110" s="4" t="s">
        <v>1191</v>
      </c>
      <c r="O110" s="4" t="s">
        <v>1192</v>
      </c>
      <c r="P110" s="4" t="s">
        <v>1193</v>
      </c>
    </row>
    <row r="111" spans="1:16" x14ac:dyDescent="0.25">
      <c r="A111" s="4" t="s">
        <v>19</v>
      </c>
      <c r="B111" s="4" t="s">
        <v>1194</v>
      </c>
      <c r="C111" s="4" t="s">
        <v>1195</v>
      </c>
      <c r="D111" s="4" t="s">
        <v>1685</v>
      </c>
      <c r="G111" s="4" t="s">
        <v>1196</v>
      </c>
      <c r="I111" s="4" t="s">
        <v>1197</v>
      </c>
      <c r="J111" s="4" t="s">
        <v>1198</v>
      </c>
      <c r="K111" s="4" t="s">
        <v>1199</v>
      </c>
      <c r="L111" s="4" t="s">
        <v>1200</v>
      </c>
      <c r="M111" s="4" t="s">
        <v>1201</v>
      </c>
      <c r="N111" s="4" t="s">
        <v>1202</v>
      </c>
      <c r="O111" s="4" t="s">
        <v>1203</v>
      </c>
      <c r="P111" s="4" t="s">
        <v>1204</v>
      </c>
    </row>
    <row r="112" spans="1:16" x14ac:dyDescent="0.25">
      <c r="A112" s="4" t="s">
        <v>19</v>
      </c>
      <c r="B112" s="4" t="s">
        <v>557</v>
      </c>
      <c r="C112" s="4" t="s">
        <v>558</v>
      </c>
      <c r="D112" s="4" t="s">
        <v>1686</v>
      </c>
      <c r="G112" s="4" t="s">
        <v>559</v>
      </c>
      <c r="I112" s="4" t="s">
        <v>560</v>
      </c>
      <c r="J112" s="4" t="s">
        <v>561</v>
      </c>
      <c r="K112" s="4" t="s">
        <v>562</v>
      </c>
      <c r="L112" s="4" t="s">
        <v>647</v>
      </c>
      <c r="M112" s="4" t="s">
        <v>648</v>
      </c>
      <c r="N112" s="4" t="s">
        <v>563</v>
      </c>
      <c r="O112" s="4" t="s">
        <v>564</v>
      </c>
      <c r="P112" s="4" t="s">
        <v>565</v>
      </c>
    </row>
    <row r="113" spans="1:16" x14ac:dyDescent="0.25">
      <c r="A113" s="4" t="s">
        <v>19</v>
      </c>
      <c r="B113" s="4" t="s">
        <v>1205</v>
      </c>
      <c r="C113" s="4" t="s">
        <v>1206</v>
      </c>
      <c r="D113" s="4" t="s">
        <v>1687</v>
      </c>
      <c r="G113" s="4" t="s">
        <v>1207</v>
      </c>
      <c r="I113" s="4" t="s">
        <v>1208</v>
      </c>
      <c r="J113" s="4" t="s">
        <v>1209</v>
      </c>
      <c r="K113" s="4" t="s">
        <v>1210</v>
      </c>
      <c r="L113" s="4" t="s">
        <v>1211</v>
      </c>
      <c r="M113" s="4" t="s">
        <v>1212</v>
      </c>
      <c r="N113" s="4" t="s">
        <v>1213</v>
      </c>
      <c r="O113" s="4" t="s">
        <v>1214</v>
      </c>
      <c r="P113" s="4" t="s">
        <v>1215</v>
      </c>
    </row>
    <row r="114" spans="1:16" x14ac:dyDescent="0.25">
      <c r="A114" s="4" t="s">
        <v>19</v>
      </c>
      <c r="B114" s="4" t="s">
        <v>1216</v>
      </c>
      <c r="C114" s="4" t="s">
        <v>1217</v>
      </c>
      <c r="D114" s="4" t="s">
        <v>1688</v>
      </c>
      <c r="G114" s="4" t="s">
        <v>1218</v>
      </c>
      <c r="I114" s="4" t="s">
        <v>1219</v>
      </c>
      <c r="J114" s="4" t="s">
        <v>1220</v>
      </c>
      <c r="K114" s="4" t="s">
        <v>1221</v>
      </c>
      <c r="L114" s="4" t="s">
        <v>1222</v>
      </c>
      <c r="M114" s="4" t="s">
        <v>1223</v>
      </c>
      <c r="N114" s="4" t="s">
        <v>1224</v>
      </c>
      <c r="O114" s="4" t="s">
        <v>1225</v>
      </c>
      <c r="P114" s="4" t="s">
        <v>1226</v>
      </c>
    </row>
    <row r="115" spans="1:16" x14ac:dyDescent="0.25">
      <c r="A115" s="4" t="s">
        <v>19</v>
      </c>
      <c r="B115" s="4" t="s">
        <v>1227</v>
      </c>
      <c r="C115" s="4" t="s">
        <v>1228</v>
      </c>
      <c r="D115" s="4" t="s">
        <v>1689</v>
      </c>
      <c r="G115" s="4" t="s">
        <v>1229</v>
      </c>
      <c r="I115" s="4" t="s">
        <v>1230</v>
      </c>
      <c r="J115" s="4" t="s">
        <v>1231</v>
      </c>
      <c r="K115" s="4" t="s">
        <v>1232</v>
      </c>
      <c r="L115" s="4" t="s">
        <v>1233</v>
      </c>
      <c r="M115" s="4" t="s">
        <v>1234</v>
      </c>
      <c r="N115" s="4" t="s">
        <v>1235</v>
      </c>
      <c r="O115" s="4" t="s">
        <v>1236</v>
      </c>
      <c r="P115" s="4" t="s">
        <v>1237</v>
      </c>
    </row>
    <row r="116" spans="1:16" x14ac:dyDescent="0.25">
      <c r="A116" s="4" t="s">
        <v>19</v>
      </c>
      <c r="B116" s="4" t="s">
        <v>919</v>
      </c>
      <c r="C116" s="4" t="s">
        <v>920</v>
      </c>
      <c r="D116" s="4" t="s">
        <v>1690</v>
      </c>
      <c r="G116" s="4" t="s">
        <v>921</v>
      </c>
      <c r="I116" s="4" t="s">
        <v>922</v>
      </c>
      <c r="J116" s="4" t="s">
        <v>923</v>
      </c>
      <c r="K116" s="4" t="s">
        <v>924</v>
      </c>
      <c r="L116" s="4" t="s">
        <v>925</v>
      </c>
      <c r="M116" s="4" t="s">
        <v>926</v>
      </c>
      <c r="N116" s="4" t="s">
        <v>927</v>
      </c>
      <c r="O116" s="4" t="s">
        <v>928</v>
      </c>
      <c r="P116" s="4" t="s">
        <v>929</v>
      </c>
    </row>
    <row r="117" spans="1:16" x14ac:dyDescent="0.25">
      <c r="A117" s="4" t="s">
        <v>19</v>
      </c>
      <c r="B117" s="4" t="s">
        <v>1691</v>
      </c>
      <c r="C117" s="4" t="s">
        <v>1692</v>
      </c>
      <c r="D117" s="4" t="s">
        <v>1693</v>
      </c>
      <c r="G117" s="4" t="s">
        <v>1694</v>
      </c>
      <c r="I117" s="4" t="s">
        <v>1695</v>
      </c>
      <c r="J117" s="4" t="s">
        <v>1696</v>
      </c>
      <c r="K117" s="4" t="s">
        <v>1697</v>
      </c>
      <c r="L117" s="4" t="s">
        <v>1698</v>
      </c>
      <c r="M117" s="4" t="s">
        <v>1699</v>
      </c>
      <c r="N117" s="4" t="s">
        <v>1700</v>
      </c>
      <c r="O117" s="4" t="s">
        <v>1701</v>
      </c>
      <c r="P117" s="4" t="s">
        <v>1702</v>
      </c>
    </row>
    <row r="118" spans="1:16" x14ac:dyDescent="0.25">
      <c r="A118" s="4" t="s">
        <v>19</v>
      </c>
      <c r="B118" s="4" t="s">
        <v>1703</v>
      </c>
      <c r="C118" s="4" t="s">
        <v>1704</v>
      </c>
      <c r="D118" s="4" t="s">
        <v>1705</v>
      </c>
      <c r="G118" s="4" t="s">
        <v>1706</v>
      </c>
      <c r="I118" s="4" t="s">
        <v>1707</v>
      </c>
      <c r="J118" s="4" t="s">
        <v>1708</v>
      </c>
      <c r="K118" s="4" t="s">
        <v>1709</v>
      </c>
      <c r="L118" s="4" t="s">
        <v>1710</v>
      </c>
      <c r="M118" s="4" t="s">
        <v>1711</v>
      </c>
      <c r="N118" s="4" t="s">
        <v>1712</v>
      </c>
      <c r="O118" s="4" t="s">
        <v>1713</v>
      </c>
      <c r="P118" s="4" t="s">
        <v>1714</v>
      </c>
    </row>
    <row r="119" spans="1:16" x14ac:dyDescent="0.25">
      <c r="A119" s="4" t="s">
        <v>19</v>
      </c>
      <c r="B119" s="4" t="s">
        <v>1715</v>
      </c>
      <c r="C119" s="4" t="s">
        <v>1716</v>
      </c>
      <c r="D119" s="4" t="s">
        <v>1717</v>
      </c>
      <c r="G119" s="4" t="s">
        <v>1718</v>
      </c>
      <c r="I119" s="4" t="s">
        <v>1719</v>
      </c>
      <c r="J119" s="4" t="s">
        <v>1720</v>
      </c>
      <c r="K119" s="4" t="s">
        <v>1721</v>
      </c>
      <c r="L119" s="4" t="s">
        <v>1722</v>
      </c>
      <c r="M119" s="4" t="s">
        <v>1723</v>
      </c>
      <c r="N119" s="4" t="s">
        <v>1724</v>
      </c>
      <c r="O119" s="4" t="s">
        <v>1725</v>
      </c>
      <c r="P119" s="4" t="s">
        <v>1726</v>
      </c>
    </row>
    <row r="120" spans="1:16" x14ac:dyDescent="0.25">
      <c r="A120" s="4" t="s">
        <v>19</v>
      </c>
      <c r="B120" s="4" t="s">
        <v>930</v>
      </c>
      <c r="C120" s="4" t="s">
        <v>931</v>
      </c>
      <c r="D120" s="4" t="s">
        <v>1727</v>
      </c>
      <c r="G120" s="4" t="s">
        <v>932</v>
      </c>
      <c r="I120" s="4" t="s">
        <v>933</v>
      </c>
      <c r="J120" s="4" t="s">
        <v>934</v>
      </c>
      <c r="K120" s="4" t="s">
        <v>935</v>
      </c>
      <c r="L120" s="4" t="s">
        <v>936</v>
      </c>
      <c r="M120" s="4" t="s">
        <v>937</v>
      </c>
      <c r="N120" s="4" t="s">
        <v>938</v>
      </c>
      <c r="O120" s="4" t="s">
        <v>939</v>
      </c>
      <c r="P120" s="4" t="s">
        <v>940</v>
      </c>
    </row>
    <row r="121" spans="1:16" x14ac:dyDescent="0.25">
      <c r="A121" s="4" t="s">
        <v>19</v>
      </c>
      <c r="B121" s="4" t="s">
        <v>764</v>
      </c>
      <c r="C121" s="4" t="s">
        <v>765</v>
      </c>
      <c r="D121" s="4" t="s">
        <v>1728</v>
      </c>
      <c r="G121" s="4" t="s">
        <v>766</v>
      </c>
      <c r="I121" s="4" t="s">
        <v>767</v>
      </c>
      <c r="J121" s="4" t="s">
        <v>768</v>
      </c>
      <c r="K121" s="4" t="s">
        <v>769</v>
      </c>
      <c r="L121" s="4" t="s">
        <v>770</v>
      </c>
      <c r="M121" s="4" t="s">
        <v>771</v>
      </c>
      <c r="N121" s="4" t="s">
        <v>772</v>
      </c>
      <c r="O121" s="4" t="s">
        <v>773</v>
      </c>
      <c r="P121" s="4" t="s">
        <v>774</v>
      </c>
    </row>
    <row r="122" spans="1:16" x14ac:dyDescent="0.25">
      <c r="A122" s="4" t="s">
        <v>19</v>
      </c>
      <c r="B122" s="4" t="s">
        <v>775</v>
      </c>
      <c r="C122" s="4" t="s">
        <v>776</v>
      </c>
      <c r="D122" s="4" t="s">
        <v>1729</v>
      </c>
      <c r="G122" s="4" t="s">
        <v>777</v>
      </c>
      <c r="I122" s="4" t="s">
        <v>778</v>
      </c>
      <c r="J122" s="4" t="s">
        <v>779</v>
      </c>
      <c r="K122" s="4" t="s">
        <v>780</v>
      </c>
      <c r="L122" s="4" t="s">
        <v>781</v>
      </c>
      <c r="M122" s="4" t="s">
        <v>782</v>
      </c>
      <c r="N122" s="4" t="s">
        <v>783</v>
      </c>
      <c r="O122" s="4" t="s">
        <v>784</v>
      </c>
      <c r="P122" s="4" t="s">
        <v>785</v>
      </c>
    </row>
    <row r="123" spans="1:16" x14ac:dyDescent="0.25">
      <c r="A123" s="4" t="s">
        <v>19</v>
      </c>
      <c r="B123" s="4" t="s">
        <v>786</v>
      </c>
      <c r="C123" s="4" t="s">
        <v>787</v>
      </c>
      <c r="D123" s="4" t="s">
        <v>1730</v>
      </c>
      <c r="G123" s="4" t="s">
        <v>788</v>
      </c>
      <c r="I123" s="4" t="s">
        <v>789</v>
      </c>
      <c r="J123" s="4" t="s">
        <v>790</v>
      </c>
      <c r="K123" s="4" t="s">
        <v>791</v>
      </c>
      <c r="L123" s="4" t="s">
        <v>792</v>
      </c>
      <c r="M123" s="4" t="s">
        <v>793</v>
      </c>
      <c r="N123" s="4" t="s">
        <v>794</v>
      </c>
      <c r="O123" s="4" t="s">
        <v>795</v>
      </c>
      <c r="P123" s="4" t="s">
        <v>796</v>
      </c>
    </row>
    <row r="124" spans="1:16" x14ac:dyDescent="0.25">
      <c r="A124" s="4" t="s">
        <v>19</v>
      </c>
      <c r="B124" s="4" t="s">
        <v>566</v>
      </c>
      <c r="C124" s="4" t="s">
        <v>567</v>
      </c>
      <c r="D124" s="4" t="s">
        <v>1731</v>
      </c>
      <c r="G124" s="4" t="s">
        <v>568</v>
      </c>
      <c r="I124" s="4" t="s">
        <v>569</v>
      </c>
      <c r="J124" s="4" t="s">
        <v>570</v>
      </c>
      <c r="K124" s="4" t="s">
        <v>571</v>
      </c>
      <c r="L124" s="4" t="s">
        <v>649</v>
      </c>
      <c r="M124" s="4" t="s">
        <v>650</v>
      </c>
      <c r="N124" s="4" t="s">
        <v>572</v>
      </c>
      <c r="O124" s="4" t="s">
        <v>573</v>
      </c>
      <c r="P124" s="4" t="s">
        <v>574</v>
      </c>
    </row>
    <row r="125" spans="1:16" x14ac:dyDescent="0.25">
      <c r="A125" s="4" t="s">
        <v>19</v>
      </c>
      <c r="B125" s="4" t="s">
        <v>941</v>
      </c>
      <c r="C125" s="4" t="s">
        <v>942</v>
      </c>
      <c r="D125" s="4" t="s">
        <v>1732</v>
      </c>
      <c r="G125" s="4" t="s">
        <v>943</v>
      </c>
      <c r="I125" s="4" t="s">
        <v>944</v>
      </c>
      <c r="J125" s="4" t="s">
        <v>945</v>
      </c>
      <c r="K125" s="4" t="s">
        <v>946</v>
      </c>
      <c r="L125" s="4" t="s">
        <v>947</v>
      </c>
      <c r="M125" s="4" t="s">
        <v>948</v>
      </c>
      <c r="N125" s="4" t="s">
        <v>949</v>
      </c>
      <c r="O125" s="4" t="s">
        <v>950</v>
      </c>
      <c r="P125" s="4" t="s">
        <v>951</v>
      </c>
    </row>
    <row r="126" spans="1:16" x14ac:dyDescent="0.25">
      <c r="A126" s="4" t="s">
        <v>19</v>
      </c>
      <c r="B126" s="4" t="s">
        <v>952</v>
      </c>
      <c r="C126" s="4" t="s">
        <v>953</v>
      </c>
      <c r="D126" s="4" t="s">
        <v>1733</v>
      </c>
      <c r="G126" s="4" t="s">
        <v>954</v>
      </c>
      <c r="I126" s="4" t="s">
        <v>955</v>
      </c>
      <c r="J126" s="4" t="s">
        <v>956</v>
      </c>
      <c r="K126" s="4" t="s">
        <v>957</v>
      </c>
      <c r="L126" s="4" t="s">
        <v>958</v>
      </c>
      <c r="M126" s="4" t="s">
        <v>959</v>
      </c>
      <c r="N126" s="4" t="s">
        <v>960</v>
      </c>
      <c r="O126" s="4" t="s">
        <v>961</v>
      </c>
      <c r="P126" s="4" t="s">
        <v>962</v>
      </c>
    </row>
    <row r="127" spans="1:16" x14ac:dyDescent="0.25">
      <c r="A127" s="4" t="s">
        <v>19</v>
      </c>
      <c r="B127" s="4" t="s">
        <v>963</v>
      </c>
      <c r="C127" s="4" t="s">
        <v>964</v>
      </c>
      <c r="D127" s="4" t="s">
        <v>1734</v>
      </c>
      <c r="G127" s="4" t="s">
        <v>965</v>
      </c>
      <c r="I127" s="4" t="s">
        <v>966</v>
      </c>
      <c r="J127" s="4" t="s">
        <v>967</v>
      </c>
      <c r="K127" s="4" t="s">
        <v>968</v>
      </c>
      <c r="L127" s="4" t="s">
        <v>969</v>
      </c>
      <c r="M127" s="4" t="s">
        <v>970</v>
      </c>
      <c r="N127" s="4" t="s">
        <v>971</v>
      </c>
      <c r="O127" s="4" t="s">
        <v>972</v>
      </c>
      <c r="P127" s="4" t="s">
        <v>973</v>
      </c>
    </row>
    <row r="128" spans="1:16" x14ac:dyDescent="0.25">
      <c r="A128" s="4" t="s">
        <v>19</v>
      </c>
      <c r="B128" s="4" t="s">
        <v>575</v>
      </c>
      <c r="C128" s="4" t="s">
        <v>576</v>
      </c>
      <c r="D128" s="4" t="s">
        <v>1735</v>
      </c>
      <c r="G128" s="4" t="s">
        <v>577</v>
      </c>
      <c r="I128" s="4" t="s">
        <v>578</v>
      </c>
      <c r="J128" s="4" t="s">
        <v>579</v>
      </c>
      <c r="K128" s="4" t="s">
        <v>580</v>
      </c>
      <c r="L128" s="4" t="s">
        <v>651</v>
      </c>
      <c r="M128" s="4" t="s">
        <v>652</v>
      </c>
      <c r="N128" s="4" t="s">
        <v>581</v>
      </c>
      <c r="O128" s="4" t="s">
        <v>582</v>
      </c>
      <c r="P128" s="4" t="s">
        <v>583</v>
      </c>
    </row>
    <row r="129" spans="1:16" x14ac:dyDescent="0.25">
      <c r="A129" s="4" t="s">
        <v>19</v>
      </c>
      <c r="B129" s="4" t="s">
        <v>584</v>
      </c>
      <c r="C129" s="4" t="s">
        <v>585</v>
      </c>
      <c r="D129" s="4" t="s">
        <v>1736</v>
      </c>
      <c r="G129" s="4" t="s">
        <v>586</v>
      </c>
      <c r="I129" s="4" t="s">
        <v>587</v>
      </c>
      <c r="J129" s="4" t="s">
        <v>588</v>
      </c>
      <c r="K129" s="4" t="s">
        <v>589</v>
      </c>
      <c r="L129" s="4" t="s">
        <v>653</v>
      </c>
      <c r="M129" s="4" t="s">
        <v>654</v>
      </c>
      <c r="N129" s="4" t="s">
        <v>590</v>
      </c>
      <c r="O129" s="4" t="s">
        <v>591</v>
      </c>
      <c r="P129" s="4" t="s">
        <v>592</v>
      </c>
    </row>
    <row r="130" spans="1:16" x14ac:dyDescent="0.25">
      <c r="A130" s="4" t="s">
        <v>19</v>
      </c>
      <c r="B130" s="4" t="s">
        <v>593</v>
      </c>
      <c r="C130" s="4" t="s">
        <v>594</v>
      </c>
      <c r="D130" s="4" t="s">
        <v>1737</v>
      </c>
      <c r="G130" s="4" t="s">
        <v>595</v>
      </c>
      <c r="I130" s="4" t="s">
        <v>596</v>
      </c>
      <c r="J130" s="4" t="s">
        <v>597</v>
      </c>
      <c r="K130" s="4" t="s">
        <v>598</v>
      </c>
      <c r="L130" s="4" t="s">
        <v>655</v>
      </c>
      <c r="M130" s="4" t="s">
        <v>656</v>
      </c>
      <c r="N130" s="4" t="s">
        <v>599</v>
      </c>
      <c r="O130" s="4" t="s">
        <v>600</v>
      </c>
      <c r="P130" s="4" t="s">
        <v>601</v>
      </c>
    </row>
    <row r="131" spans="1:16" x14ac:dyDescent="0.25">
      <c r="A131" s="4" t="s">
        <v>19</v>
      </c>
      <c r="B131" s="4" t="s">
        <v>974</v>
      </c>
      <c r="C131" s="4" t="s">
        <v>975</v>
      </c>
      <c r="D131" s="4" t="s">
        <v>1738</v>
      </c>
      <c r="G131" s="4" t="s">
        <v>976</v>
      </c>
      <c r="I131" s="4" t="s">
        <v>977</v>
      </c>
      <c r="J131" s="4" t="s">
        <v>978</v>
      </c>
      <c r="K131" s="4" t="s">
        <v>979</v>
      </c>
      <c r="L131" s="4" t="s">
        <v>980</v>
      </c>
      <c r="M131" s="4" t="s">
        <v>981</v>
      </c>
      <c r="N131" s="4" t="s">
        <v>982</v>
      </c>
      <c r="O131" s="4" t="s">
        <v>983</v>
      </c>
      <c r="P131" s="4" t="s">
        <v>984</v>
      </c>
    </row>
    <row r="132" spans="1:16" x14ac:dyDescent="0.25">
      <c r="A132" s="4" t="s">
        <v>19</v>
      </c>
      <c r="B132" s="4" t="s">
        <v>985</v>
      </c>
      <c r="C132" s="4" t="s">
        <v>986</v>
      </c>
      <c r="D132" s="4" t="s">
        <v>1739</v>
      </c>
      <c r="G132" s="4" t="s">
        <v>987</v>
      </c>
      <c r="I132" s="4" t="s">
        <v>988</v>
      </c>
      <c r="J132" s="4" t="s">
        <v>989</v>
      </c>
      <c r="K132" s="4" t="s">
        <v>990</v>
      </c>
      <c r="L132" s="4" t="s">
        <v>991</v>
      </c>
      <c r="M132" s="4" t="s">
        <v>992</v>
      </c>
      <c r="N132" s="4" t="s">
        <v>993</v>
      </c>
      <c r="O132" s="4" t="s">
        <v>994</v>
      </c>
      <c r="P132" s="4" t="s">
        <v>995</v>
      </c>
    </row>
    <row r="133" spans="1:16" x14ac:dyDescent="0.25">
      <c r="A133" s="4" t="s">
        <v>19</v>
      </c>
      <c r="B133" s="4" t="s">
        <v>996</v>
      </c>
      <c r="C133" s="4" t="s">
        <v>997</v>
      </c>
      <c r="D133" s="4" t="s">
        <v>1740</v>
      </c>
      <c r="G133" s="4" t="s">
        <v>998</v>
      </c>
      <c r="I133" s="4" t="s">
        <v>999</v>
      </c>
      <c r="J133" s="4" t="s">
        <v>1000</v>
      </c>
      <c r="K133" s="4" t="s">
        <v>1001</v>
      </c>
      <c r="L133" s="4" t="s">
        <v>1002</v>
      </c>
      <c r="M133" s="4" t="s">
        <v>1003</v>
      </c>
      <c r="N133" s="4" t="s">
        <v>1004</v>
      </c>
      <c r="O133" s="4" t="s">
        <v>1005</v>
      </c>
      <c r="P133" s="4" t="s">
        <v>1006</v>
      </c>
    </row>
    <row r="134" spans="1:16" x14ac:dyDescent="0.25">
      <c r="A134" s="4" t="s">
        <v>19</v>
      </c>
      <c r="B134" s="4" t="s">
        <v>602</v>
      </c>
      <c r="C134" s="4" t="s">
        <v>603</v>
      </c>
      <c r="D134" s="4" t="s">
        <v>1741</v>
      </c>
      <c r="G134" s="4" t="s">
        <v>604</v>
      </c>
      <c r="I134" s="4" t="s">
        <v>605</v>
      </c>
      <c r="J134" s="4" t="s">
        <v>606</v>
      </c>
      <c r="K134" s="4" t="s">
        <v>607</v>
      </c>
      <c r="L134" s="4" t="s">
        <v>657</v>
      </c>
      <c r="M134" s="4" t="s">
        <v>658</v>
      </c>
      <c r="N134" s="4" t="s">
        <v>608</v>
      </c>
      <c r="O134" s="4" t="s">
        <v>609</v>
      </c>
      <c r="P134" s="4" t="s">
        <v>610</v>
      </c>
    </row>
    <row r="135" spans="1:16" x14ac:dyDescent="0.25">
      <c r="A135" s="4" t="s">
        <v>19</v>
      </c>
      <c r="B135" s="4" t="s">
        <v>611</v>
      </c>
      <c r="C135" s="4" t="s">
        <v>612</v>
      </c>
      <c r="D135" s="4" t="s">
        <v>1742</v>
      </c>
      <c r="G135" s="4" t="s">
        <v>613</v>
      </c>
      <c r="I135" s="4" t="s">
        <v>614</v>
      </c>
      <c r="J135" s="4" t="s">
        <v>615</v>
      </c>
      <c r="K135" s="4" t="s">
        <v>616</v>
      </c>
      <c r="L135" s="4" t="s">
        <v>659</v>
      </c>
      <c r="M135" s="4" t="s">
        <v>660</v>
      </c>
      <c r="N135" s="4" t="s">
        <v>617</v>
      </c>
      <c r="O135" s="4" t="s">
        <v>618</v>
      </c>
      <c r="P135" s="4" t="s">
        <v>619</v>
      </c>
    </row>
    <row r="136" spans="1:16" x14ac:dyDescent="0.25">
      <c r="A136" s="4" t="s">
        <v>19</v>
      </c>
      <c r="B136" s="4" t="s">
        <v>797</v>
      </c>
      <c r="C136" s="4" t="s">
        <v>798</v>
      </c>
      <c r="D136" s="4" t="s">
        <v>1743</v>
      </c>
      <c r="G136" s="4" t="s">
        <v>799</v>
      </c>
      <c r="I136" s="4" t="s">
        <v>800</v>
      </c>
      <c r="J136" s="4" t="s">
        <v>801</v>
      </c>
      <c r="K136" s="4" t="s">
        <v>802</v>
      </c>
      <c r="L136" s="4" t="s">
        <v>803</v>
      </c>
      <c r="M136" s="4" t="s">
        <v>804</v>
      </c>
      <c r="N136" s="4" t="s">
        <v>805</v>
      </c>
      <c r="O136" s="4" t="s">
        <v>806</v>
      </c>
      <c r="P136" s="4" t="s">
        <v>807</v>
      </c>
    </row>
    <row r="137" spans="1:16" x14ac:dyDescent="0.25">
      <c r="A137" s="4" t="s">
        <v>19</v>
      </c>
      <c r="B137" s="4" t="s">
        <v>808</v>
      </c>
      <c r="C137" s="4" t="s">
        <v>809</v>
      </c>
      <c r="D137" s="4" t="s">
        <v>1744</v>
      </c>
      <c r="G137" s="4" t="s">
        <v>810</v>
      </c>
      <c r="I137" s="4" t="s">
        <v>811</v>
      </c>
      <c r="J137" s="4" t="s">
        <v>812</v>
      </c>
      <c r="K137" s="4" t="s">
        <v>813</v>
      </c>
      <c r="L137" s="4" t="s">
        <v>814</v>
      </c>
      <c r="M137" s="4" t="s">
        <v>815</v>
      </c>
      <c r="N137" s="4" t="s">
        <v>816</v>
      </c>
      <c r="O137" s="4" t="s">
        <v>817</v>
      </c>
      <c r="P137" s="4" t="s">
        <v>818</v>
      </c>
    </row>
    <row r="138" spans="1:16" x14ac:dyDescent="0.25">
      <c r="A138" s="4" t="s">
        <v>19</v>
      </c>
      <c r="B138" s="4" t="s">
        <v>863</v>
      </c>
      <c r="C138" s="4" t="s">
        <v>864</v>
      </c>
      <c r="D138" s="4" t="s">
        <v>1745</v>
      </c>
      <c r="G138" s="4" t="s">
        <v>865</v>
      </c>
      <c r="I138" s="4" t="s">
        <v>866</v>
      </c>
      <c r="J138" s="4" t="s">
        <v>867</v>
      </c>
      <c r="K138" s="4" t="s">
        <v>868</v>
      </c>
      <c r="L138" s="4" t="s">
        <v>869</v>
      </c>
      <c r="M138" s="4" t="s">
        <v>870</v>
      </c>
      <c r="N138" s="4" t="s">
        <v>871</v>
      </c>
      <c r="O138" s="4" t="s">
        <v>872</v>
      </c>
      <c r="P138" s="4" t="s">
        <v>873</v>
      </c>
    </row>
    <row r="139" spans="1:16" x14ac:dyDescent="0.25">
      <c r="A139" s="4" t="s">
        <v>19</v>
      </c>
      <c r="B139" s="4" t="s">
        <v>1357</v>
      </c>
      <c r="C139" s="4" t="s">
        <v>1358</v>
      </c>
      <c r="D139" s="4" t="s">
        <v>1746</v>
      </c>
      <c r="G139" s="4" t="s">
        <v>1359</v>
      </c>
      <c r="I139" s="4" t="s">
        <v>1360</v>
      </c>
      <c r="J139" s="4" t="s">
        <v>1361</v>
      </c>
      <c r="K139" s="4" t="s">
        <v>1362</v>
      </c>
      <c r="L139" s="4" t="s">
        <v>1363</v>
      </c>
      <c r="M139" s="4" t="s">
        <v>1364</v>
      </c>
      <c r="N139" s="4" t="s">
        <v>1365</v>
      </c>
      <c r="O139" s="4" t="s">
        <v>1366</v>
      </c>
      <c r="P139" s="4" t="s">
        <v>1367</v>
      </c>
    </row>
    <row r="140" spans="1:16" x14ac:dyDescent="0.25">
      <c r="A140" s="4" t="s">
        <v>19</v>
      </c>
      <c r="B140" s="4" t="s">
        <v>1368</v>
      </c>
      <c r="C140" s="4" t="s">
        <v>1369</v>
      </c>
      <c r="D140" s="4" t="s">
        <v>1747</v>
      </c>
      <c r="G140" s="4" t="s">
        <v>1370</v>
      </c>
      <c r="I140" s="4" t="s">
        <v>1371</v>
      </c>
      <c r="J140" s="4" t="s">
        <v>1372</v>
      </c>
      <c r="K140" s="4" t="s">
        <v>1373</v>
      </c>
      <c r="L140" s="4" t="s">
        <v>1374</v>
      </c>
      <c r="M140" s="4" t="s">
        <v>1375</v>
      </c>
      <c r="N140" s="4" t="s">
        <v>1376</v>
      </c>
      <c r="O140" s="4" t="s">
        <v>1377</v>
      </c>
      <c r="P140" s="4" t="s">
        <v>1378</v>
      </c>
    </row>
    <row r="141" spans="1:16" x14ac:dyDescent="0.25">
      <c r="A141" s="4" t="s">
        <v>19</v>
      </c>
      <c r="B141" s="4" t="s">
        <v>1095</v>
      </c>
    </row>
    <row r="142" spans="1:16" x14ac:dyDescent="0.25">
      <c r="A142" s="4" t="s">
        <v>19</v>
      </c>
      <c r="B142" s="4" t="s">
        <v>1095</v>
      </c>
    </row>
    <row r="143" spans="1:16" x14ac:dyDescent="0.25">
      <c r="A143" s="4" t="s">
        <v>19</v>
      </c>
      <c r="B143" s="4" t="s">
        <v>1379</v>
      </c>
      <c r="C143" s="4" t="s">
        <v>1748</v>
      </c>
      <c r="D143" s="4" t="s">
        <v>1749</v>
      </c>
      <c r="E143" s="4" t="s">
        <v>1750</v>
      </c>
      <c r="G143" s="4" t="s">
        <v>1751</v>
      </c>
    </row>
    <row r="144" spans="1:16" x14ac:dyDescent="0.25">
      <c r="A144" s="4" t="s">
        <v>19</v>
      </c>
      <c r="B144" s="4" t="s">
        <v>1379</v>
      </c>
      <c r="C144" s="4" t="s">
        <v>1380</v>
      </c>
      <c r="D144" s="4" t="s">
        <v>1752</v>
      </c>
      <c r="G144" s="4" t="s">
        <v>1381</v>
      </c>
      <c r="I144" s="4" t="s">
        <v>1382</v>
      </c>
      <c r="J144" s="4" t="s">
        <v>1383</v>
      </c>
      <c r="K144" s="4" t="s">
        <v>1384</v>
      </c>
      <c r="L144" s="4" t="s">
        <v>1385</v>
      </c>
      <c r="M144" s="4" t="s">
        <v>1386</v>
      </c>
      <c r="N144" s="4" t="s">
        <v>1387</v>
      </c>
      <c r="O144" s="4" t="s">
        <v>1388</v>
      </c>
      <c r="P144" s="4" t="s">
        <v>1389</v>
      </c>
    </row>
    <row r="145" spans="1:16" x14ac:dyDescent="0.25">
      <c r="A145" s="4" t="s">
        <v>19</v>
      </c>
      <c r="B145" s="4" t="s">
        <v>1390</v>
      </c>
      <c r="C145" s="4" t="s">
        <v>1391</v>
      </c>
      <c r="D145" s="4" t="s">
        <v>1753</v>
      </c>
      <c r="G145" s="4" t="s">
        <v>1392</v>
      </c>
      <c r="I145" s="4" t="s">
        <v>1393</v>
      </c>
      <c r="J145" s="4" t="s">
        <v>1394</v>
      </c>
      <c r="K145" s="4" t="s">
        <v>1395</v>
      </c>
      <c r="L145" s="4" t="s">
        <v>1396</v>
      </c>
      <c r="M145" s="4" t="s">
        <v>1397</v>
      </c>
      <c r="N145" s="4" t="s">
        <v>1398</v>
      </c>
      <c r="O145" s="4" t="s">
        <v>1399</v>
      </c>
      <c r="P145" s="4" t="s">
        <v>1400</v>
      </c>
    </row>
    <row r="146" spans="1:16" x14ac:dyDescent="0.25">
      <c r="A146" s="4" t="s">
        <v>19</v>
      </c>
      <c r="B146" s="4" t="s">
        <v>1007</v>
      </c>
      <c r="C146" s="4" t="s">
        <v>1008</v>
      </c>
      <c r="D146" s="4" t="s">
        <v>1754</v>
      </c>
      <c r="G146" s="4" t="s">
        <v>1009</v>
      </c>
      <c r="I146" s="4" t="s">
        <v>1010</v>
      </c>
      <c r="J146" s="4" t="s">
        <v>1011</v>
      </c>
      <c r="K146" s="4" t="s">
        <v>1012</v>
      </c>
      <c r="L146" s="4" t="s">
        <v>1013</v>
      </c>
      <c r="M146" s="4" t="s">
        <v>1014</v>
      </c>
      <c r="N146" s="4" t="s">
        <v>1015</v>
      </c>
      <c r="O146" s="4" t="s">
        <v>1016</v>
      </c>
      <c r="P146" s="4" t="s">
        <v>1017</v>
      </c>
    </row>
    <row r="147" spans="1:16" x14ac:dyDescent="0.25">
      <c r="A147" s="4" t="s">
        <v>19</v>
      </c>
      <c r="B147" s="4" t="s">
        <v>1018</v>
      </c>
      <c r="C147" s="4" t="s">
        <v>1019</v>
      </c>
      <c r="D147" s="4" t="s">
        <v>1755</v>
      </c>
      <c r="G147" s="4" t="s">
        <v>1020</v>
      </c>
      <c r="I147" s="4" t="s">
        <v>1021</v>
      </c>
      <c r="J147" s="4" t="s">
        <v>1022</v>
      </c>
      <c r="K147" s="4" t="s">
        <v>1023</v>
      </c>
      <c r="L147" s="4" t="s">
        <v>1024</v>
      </c>
      <c r="M147" s="4" t="s">
        <v>1025</v>
      </c>
      <c r="N147" s="4" t="s">
        <v>1026</v>
      </c>
      <c r="O147" s="4" t="s">
        <v>1027</v>
      </c>
      <c r="P147" s="4" t="s">
        <v>1028</v>
      </c>
    </row>
    <row r="148" spans="1:16" x14ac:dyDescent="0.25">
      <c r="A148" s="4" t="s">
        <v>19</v>
      </c>
      <c r="B148" s="4" t="s">
        <v>1401</v>
      </c>
      <c r="C148" s="4" t="s">
        <v>1402</v>
      </c>
      <c r="D148" s="4" t="s">
        <v>1756</v>
      </c>
      <c r="G148" s="4" t="s">
        <v>1403</v>
      </c>
      <c r="I148" s="4" t="s">
        <v>1404</v>
      </c>
      <c r="J148" s="4" t="s">
        <v>1405</v>
      </c>
      <c r="K148" s="4" t="s">
        <v>1406</v>
      </c>
      <c r="L148" s="4" t="s">
        <v>1407</v>
      </c>
      <c r="M148" s="4" t="s">
        <v>1408</v>
      </c>
      <c r="N148" s="4" t="s">
        <v>1409</v>
      </c>
      <c r="O148" s="4" t="s">
        <v>1410</v>
      </c>
      <c r="P148" s="4" t="s">
        <v>1411</v>
      </c>
    </row>
    <row r="149" spans="1:16" x14ac:dyDescent="0.25">
      <c r="A149" s="4" t="s">
        <v>19</v>
      </c>
      <c r="B149" s="4" t="s">
        <v>1412</v>
      </c>
      <c r="C149" s="4" t="s">
        <v>1413</v>
      </c>
      <c r="D149" s="4" t="s">
        <v>1757</v>
      </c>
      <c r="G149" s="4" t="s">
        <v>1414</v>
      </c>
      <c r="I149" s="4" t="s">
        <v>1415</v>
      </c>
      <c r="J149" s="4" t="s">
        <v>1416</v>
      </c>
      <c r="K149" s="4" t="s">
        <v>1417</v>
      </c>
      <c r="L149" s="4" t="s">
        <v>1418</v>
      </c>
      <c r="M149" s="4" t="s">
        <v>1419</v>
      </c>
      <c r="N149" s="4" t="s">
        <v>1420</v>
      </c>
      <c r="O149" s="4" t="s">
        <v>1421</v>
      </c>
      <c r="P149" s="4" t="s">
        <v>1422</v>
      </c>
    </row>
    <row r="150" spans="1:16" x14ac:dyDescent="0.25">
      <c r="A150" s="4" t="s">
        <v>19</v>
      </c>
      <c r="B150" s="4" t="s">
        <v>1423</v>
      </c>
      <c r="C150" s="4" t="s">
        <v>1424</v>
      </c>
      <c r="D150" s="4" t="s">
        <v>1758</v>
      </c>
      <c r="G150" s="4" t="s">
        <v>1425</v>
      </c>
      <c r="I150" s="4" t="s">
        <v>1426</v>
      </c>
      <c r="J150" s="4" t="s">
        <v>1427</v>
      </c>
      <c r="K150" s="4" t="s">
        <v>1428</v>
      </c>
      <c r="L150" s="4" t="s">
        <v>1429</v>
      </c>
      <c r="M150" s="4" t="s">
        <v>1430</v>
      </c>
      <c r="N150" s="4" t="s">
        <v>1431</v>
      </c>
      <c r="O150" s="4" t="s">
        <v>1432</v>
      </c>
      <c r="P150" s="4" t="s">
        <v>1433</v>
      </c>
    </row>
    <row r="151" spans="1:16" x14ac:dyDescent="0.25">
      <c r="A151" s="4" t="s">
        <v>19</v>
      </c>
      <c r="B151" s="4" t="s">
        <v>1238</v>
      </c>
      <c r="C151" s="4" t="s">
        <v>1239</v>
      </c>
      <c r="D151" s="4" t="s">
        <v>1759</v>
      </c>
      <c r="G151" s="4" t="s">
        <v>1240</v>
      </c>
      <c r="I151" s="4" t="s">
        <v>1241</v>
      </c>
      <c r="J151" s="4" t="s">
        <v>1242</v>
      </c>
      <c r="K151" s="4" t="s">
        <v>1243</v>
      </c>
      <c r="L151" s="4" t="s">
        <v>1244</v>
      </c>
      <c r="M151" s="4" t="s">
        <v>1245</v>
      </c>
      <c r="N151" s="4" t="s">
        <v>1246</v>
      </c>
      <c r="O151" s="4" t="s">
        <v>1247</v>
      </c>
      <c r="P151" s="4" t="s">
        <v>1248</v>
      </c>
    </row>
    <row r="152" spans="1:16" x14ac:dyDescent="0.25">
      <c r="A152" s="4" t="s">
        <v>19</v>
      </c>
      <c r="B152" s="4" t="s">
        <v>819</v>
      </c>
      <c r="C152" s="4" t="s">
        <v>820</v>
      </c>
      <c r="D152" s="4" t="s">
        <v>1760</v>
      </c>
      <c r="G152" s="4" t="s">
        <v>821</v>
      </c>
      <c r="I152" s="4" t="s">
        <v>822</v>
      </c>
      <c r="J152" s="4" t="s">
        <v>823</v>
      </c>
      <c r="K152" s="4" t="s">
        <v>824</v>
      </c>
      <c r="L152" s="4" t="s">
        <v>825</v>
      </c>
      <c r="M152" s="4" t="s">
        <v>826</v>
      </c>
      <c r="N152" s="4" t="s">
        <v>827</v>
      </c>
      <c r="O152" s="4" t="s">
        <v>828</v>
      </c>
      <c r="P152" s="4" t="s">
        <v>829</v>
      </c>
    </row>
    <row r="153" spans="1:16" x14ac:dyDescent="0.25">
      <c r="A153" s="4" t="s">
        <v>19</v>
      </c>
      <c r="B153" s="4" t="s">
        <v>1379</v>
      </c>
    </row>
    <row r="154" spans="1:16" x14ac:dyDescent="0.25">
      <c r="A154" s="4" t="s">
        <v>19</v>
      </c>
      <c r="B154" s="4" t="s">
        <v>1379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2</vt:i4>
      </vt:variant>
      <vt:variant>
        <vt:lpstr>Navngivne områder</vt:lpstr>
      </vt:variant>
      <vt:variant>
        <vt:i4>2</vt:i4>
      </vt:variant>
    </vt:vector>
  </HeadingPairs>
  <TitlesOfParts>
    <vt:vector size="4" baseType="lpstr">
      <vt:lpstr>Alle lev</vt:lpstr>
      <vt:lpstr>Ark1</vt:lpstr>
      <vt:lpstr>'Alle lev'!Udskriftsområde</vt:lpstr>
      <vt:lpstr>'Alle lev'!Udskriftstitler</vt:lpstr>
    </vt:vector>
  </TitlesOfParts>
  <Company>Helsam A/S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Birgitte Schou Clausen</dc:creator>
  <cp:lastModifiedBy>pos</cp:lastModifiedBy>
  <cp:lastPrinted>2022-03-21T09:16:24Z</cp:lastPrinted>
  <dcterms:created xsi:type="dcterms:W3CDTF">2014-05-01T07:15:35Z</dcterms:created>
  <dcterms:modified xsi:type="dcterms:W3CDTF">2022-03-30T15:04:25Z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Design Mode Active">
    <vt:bool>false</vt:bool>
  </property>
  <property fmtid="{D5CDD505-2E9C-101B-9397-08002B2CF9AE}" pid="3" name="Jet Reports Function Literals">
    <vt:lpwstr>\	;	;	{	}	[@[{0}]]	1030	1030</vt:lpwstr>
  </property>
</Properties>
</file>